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909" activeTab="8"/>
  </bookViews>
  <sheets>
    <sheet name="Gestion des Equipements" sheetId="1" r:id="rId1"/>
    <sheet name="Maintenance 1er niveau" sheetId="2" r:id="rId2"/>
    <sheet name="Gestion stocks" sheetId="3" r:id="rId3"/>
    <sheet name="Gestion travaux" sheetId="4" r:id="rId4"/>
    <sheet name="Analyse FMDS" sheetId="5" r:id="rId5"/>
    <sheet name="Analyse des coûts" sheetId="6" r:id="rId6"/>
    <sheet name="Base de données" sheetId="7" r:id="rId7"/>
    <sheet name="Planification" sheetId="8" r:id="rId8"/>
    <sheet name="Résultats" sheetId="9" r:id="rId9"/>
    <sheet name="GrapheRadar" sheetId="10" r:id="rId10"/>
  </sheets>
  <definedNames>
    <definedName name="Z_6A11434E_89F7_404B_BDBA_76ACCF381081_.wvu.Cols" localSheetId="5" hidden="1">'Analyse des coûts'!$Q:$T</definedName>
    <definedName name="Z_6A11434E_89F7_404B_BDBA_76ACCF381081_.wvu.Cols" localSheetId="4" hidden="1">'Analyse FMDS'!$Q:$T</definedName>
    <definedName name="Z_6A11434E_89F7_404B_BDBA_76ACCF381081_.wvu.Cols" localSheetId="6" hidden="1">'Base de données'!$Q:$T</definedName>
    <definedName name="Z_6A11434E_89F7_404B_BDBA_76ACCF381081_.wvu.Cols" localSheetId="0" hidden="1">'Gestion des Equipements'!$Q:$T</definedName>
    <definedName name="Z_6A11434E_89F7_404B_BDBA_76ACCF381081_.wvu.Cols" localSheetId="2" hidden="1">'Gestion stocks'!$Q:$T</definedName>
    <definedName name="Z_6A11434E_89F7_404B_BDBA_76ACCF381081_.wvu.Cols" localSheetId="3" hidden="1">'Gestion travaux'!$Q:$T</definedName>
    <definedName name="Z_6A11434E_89F7_404B_BDBA_76ACCF381081_.wvu.Cols" localSheetId="1" hidden="1">'Maintenance 1er niveau'!$Q:$T</definedName>
    <definedName name="Z_6A11434E_89F7_404B_BDBA_76ACCF381081_.wvu.Cols" localSheetId="7" hidden="1">'Planification'!$Q:$T</definedName>
    <definedName name="Z_6A11434E_89F7_404B_BDBA_76ACCF381081_.wvu.Cols" localSheetId="8" hidden="1">'Résultats'!$M:$N</definedName>
    <definedName name="_xlnm.Print_Area" localSheetId="9">'GrapheRadar'!$A$1:$I$49</definedName>
    <definedName name="_xlnm.Print_Area" localSheetId="8">'Résultats'!$A$1:$O$157</definedName>
  </definedNames>
  <calcPr fullCalcOnLoad="1"/>
</workbook>
</file>

<file path=xl/sharedStrings.xml><?xml version="1.0" encoding="utf-8"?>
<sst xmlns="http://schemas.openxmlformats.org/spreadsheetml/2006/main" count="526" uniqueCount="155">
  <si>
    <t>Affirmations concernant la gestion des équipements</t>
  </si>
  <si>
    <t>Vraie</t>
  </si>
  <si>
    <t>Plutôt</t>
  </si>
  <si>
    <t>Fausse</t>
  </si>
  <si>
    <t xml:space="preserve"> vraie</t>
  </si>
  <si>
    <t xml:space="preserve"> fausse</t>
  </si>
  <si>
    <t xml:space="preserve">On a un inventaire par emplacement, ligne... des équipements </t>
  </si>
  <si>
    <t>Cet inventaire est tenu à jour (modifications, suppressions, ajouts...)</t>
  </si>
  <si>
    <t xml:space="preserve">Il existe une codification qui découpe les équipements jusqu'à la pièce de rechange </t>
  </si>
  <si>
    <t xml:space="preserve">Pour chaque équipement, on connaît les conditions de bon fonctionnement </t>
  </si>
  <si>
    <t xml:space="preserve">Pour chaque équipement, on connaît les conditions d'intervention </t>
  </si>
  <si>
    <t>Pour chaque équipement, on connaît les pièces de rechange nécessaires</t>
  </si>
  <si>
    <t>Pour chaque équipement, on connaît les outillages nécessaires</t>
  </si>
  <si>
    <t>Pour chaque équipement, on possède l'historique des travaux</t>
  </si>
  <si>
    <t xml:space="preserve">Les codes (équipements / sous-ensembles / pièces) sont facilement visibles </t>
  </si>
  <si>
    <t>Pour chaque équipement, on possède les plans et schémas à jour</t>
  </si>
  <si>
    <t>Il est possible de retrouver rapidement les interventions réalisées sur un équipement</t>
  </si>
  <si>
    <t>Pour chaque équipement, on connaît le degré d'urgence de réparation</t>
  </si>
  <si>
    <t>Les historiques sont analysés au moins une fois par an</t>
  </si>
  <si>
    <t>Chaque équipement possède un numéro d'identification unique</t>
  </si>
  <si>
    <t>Chaque équipement possède un dossier technique</t>
  </si>
  <si>
    <t>GESTION DES EQUIPEMENTS</t>
  </si>
  <si>
    <t>On utilise des fiches formalisant les opérations de premier pour chaque équipement important</t>
  </si>
  <si>
    <t xml:space="preserve">Il existe un moyen connu de déclenchement des opérations </t>
  </si>
  <si>
    <t>On utilise des fiches de suivi des interventions de premier niveau</t>
  </si>
  <si>
    <t xml:space="preserve">On a un moyen de saisie ou d'enregistrement des anomalies détectées lors d'une intervention </t>
  </si>
  <si>
    <t>Les interventions de premier niveau sont planifiées</t>
  </si>
  <si>
    <t>Le suivi des opérations de premier niveau est régulièrement mis à jour</t>
  </si>
  <si>
    <t>Il existe un historique tenant compte de l'activité des machines et des appoints en lubrifiants</t>
  </si>
  <si>
    <t>Il existe une nomenclature et un suivi des produits de maintenance  de 1° niveau</t>
  </si>
  <si>
    <t>MAINTENANCE DE 1er NIVEAU</t>
  </si>
  <si>
    <t>Affirmations concernant la gestion des stocks et des pièces de rechange</t>
  </si>
  <si>
    <t>On utilise une procédure formalisée pour les Demandes d'Achat (DA)</t>
  </si>
  <si>
    <t>Les articles stockés sont codifiés</t>
  </si>
  <si>
    <t>Il existe des fiches techniques pour chaque pièce et rechange spécifique</t>
  </si>
  <si>
    <t>Les pièces obsolètes sont éliminées si besoin</t>
  </si>
  <si>
    <t>Le niveau du stock et sa valeur sont connus par le service maintenance</t>
  </si>
  <si>
    <t>Les pièces sont correctement rangées, identifiées et localisées dans un magasin</t>
  </si>
  <si>
    <t>Pour chaque pièce stockée, on connaît le(s) fournisseur(s)</t>
  </si>
  <si>
    <t>Pour chaque pièce, on connaît le délai d'approvisionnement</t>
  </si>
  <si>
    <t>Les pièces interchangeables (standards) sont connues et identifiées</t>
  </si>
  <si>
    <t>La maintenance possède son magasin</t>
  </si>
  <si>
    <t>Les pièces rapidement livrables sont disponibles chez nos fournisseurs</t>
  </si>
  <si>
    <t>Il existe une gestion formalisée des entrées / sorties magasin</t>
  </si>
  <si>
    <t>Le seuil de sécurité, ou de réapprovisionnement du stock est défini (pour pièces critiques)</t>
  </si>
  <si>
    <t>Les consommations sont analysées</t>
  </si>
  <si>
    <t>GESTION DES STOCKS ET PIECES DE RECHANGE</t>
  </si>
  <si>
    <t>Affirmations concernant la gestion des travaux</t>
  </si>
  <si>
    <t>On sait hiérarchiser les appels à la maintenance en fonction de l'importance de l'équipement</t>
  </si>
  <si>
    <t>Il existe un moyen connu de déclenchement des interventions de type DI / OT / BT</t>
  </si>
  <si>
    <t>Les DI sont suivies (enregistrement, choix, ventilation, planification)</t>
  </si>
  <si>
    <t>Un compte-rendu est établi après chaque intervention (RI)</t>
  </si>
  <si>
    <t>Une structure travaux neufs est en place</t>
  </si>
  <si>
    <t>Il existe une gestion des différents travaux correctifs, préventifs...</t>
  </si>
  <si>
    <t>Il existe une structure d'appel et de suivi des travaux sous-traités ou co-traités</t>
  </si>
  <si>
    <t>Les contraintes de la production sont prises en compte dans la gestion des travaux</t>
  </si>
  <si>
    <t>Il existe des gammes opératoires pour les travaux complexes</t>
  </si>
  <si>
    <t>Les consignes de sécurité à respecter sont données sur les BT ou documents spécifiques</t>
  </si>
  <si>
    <t>Il existe un moyen connu de gestion des priorités pour le déclenchement des DI</t>
  </si>
  <si>
    <t>Les OT / BT / RI sont classés et archivés suivant chaque équipement</t>
  </si>
  <si>
    <t>GESTION DES TRAVAUX</t>
  </si>
  <si>
    <t>Il existe une structure et un formalisme pour enregistrer les informations</t>
  </si>
  <si>
    <t>Chaque intervention est classée et archivée</t>
  </si>
  <si>
    <t>Chaque intervention est analysée (coûts, temps, ...)</t>
  </si>
  <si>
    <t>Les analyses sont compilées afin de réaliser des indicateurs et/ou un tableau de bord</t>
  </si>
  <si>
    <t>Pour les équipements principaux, on connait un indicateur de bon fonctionnement</t>
  </si>
  <si>
    <t>Pour les équipements principaux, on connait un indicateur de temps d'intervention</t>
  </si>
  <si>
    <t>Pour les équipements principaux, on connait un indicateur de disponibilité</t>
  </si>
  <si>
    <t>Pour les équipements principaux, on connait les conditions d'intervention</t>
  </si>
  <si>
    <t>Les performances sont suivies (par équipement, par machine, par ...)</t>
  </si>
  <si>
    <t>On possède l'historique des travaux pour chaque équipement</t>
  </si>
  <si>
    <t>L'efficacité de la fonction maintennace est contrôlée</t>
  </si>
  <si>
    <t>On dispose de matériel pour faire de la maintenance conditionnelle (ou prévisionnelle)</t>
  </si>
  <si>
    <t>ANALYSE F.M.D.S.</t>
  </si>
  <si>
    <t>Affirmations concernant l'analyse Fiabilité, Maintenabilité, Disponibilité, Sécurité</t>
  </si>
  <si>
    <t>Affirmations concernant l'analyse des coûts</t>
  </si>
  <si>
    <t>La maintenance gère son budget</t>
  </si>
  <si>
    <t>On peut connaître rapidement la situation budgétaire de la maintenance</t>
  </si>
  <si>
    <t>Le budget est ventilé par type de maintenance</t>
  </si>
  <si>
    <t>La comptabilité du service suit l'évolution des coûts budgétisés, engagés, réalisés</t>
  </si>
  <si>
    <t>Le service maintenance est autonome pour les achats en-dessous d'un coût plafond</t>
  </si>
  <si>
    <t>Il existe une gestion des interventions externes (sous-traitance, co-traitance...)</t>
  </si>
  <si>
    <t>La valeur du stock des pièces de rechange est parfaitement connue</t>
  </si>
  <si>
    <t>Pour les équipements principaux, on connaît les coûts de maintenance</t>
  </si>
  <si>
    <t>Les résultats de l'activité maintenance, en terme de coûts, sont affichés et visibles par tous</t>
  </si>
  <si>
    <t>ANALYSE DES COUTS</t>
  </si>
  <si>
    <r>
      <t>La ventilation des coûts se fait par nature (</t>
    </r>
    <r>
      <rPr>
        <sz val="9"/>
        <rFont val="Geneva"/>
        <family val="0"/>
      </rPr>
      <t>biens, lignes...</t>
    </r>
    <r>
      <rPr>
        <sz val="10"/>
        <rFont val="Geneva"/>
        <family val="0"/>
      </rPr>
      <t>), par type d'intervention, par destination</t>
    </r>
  </si>
  <si>
    <t>Affirmations concernant la base de données</t>
  </si>
  <si>
    <t>On enregistre l'avancement des travaux pour les interventions longues et importantes</t>
  </si>
  <si>
    <t>Il existe une base de données fournisseurs (coûts, qualité, délais...)</t>
  </si>
  <si>
    <t>Il existe une méthode d'archivage adaptée et suffisante</t>
  </si>
  <si>
    <t>Un tableau de bord est édité régulièrement</t>
  </si>
  <si>
    <t>On dispose d'outils informatiques pour gérer l'activité</t>
  </si>
  <si>
    <t>On peut consulter l'historique des travaux pour chaque équipement</t>
  </si>
  <si>
    <t>Un dossier technique est archivé et tenu à jour pour les équipements principaux</t>
  </si>
  <si>
    <t>Les catalogues fournisseurs et les documentations techniques sont facilement accessibles</t>
  </si>
  <si>
    <t>BASE DE DONNEES</t>
  </si>
  <si>
    <t>Affirmations concernant la planification</t>
  </si>
  <si>
    <t>La planification est réalisée suivant la disponibilité des équipements, du Plan de Production</t>
  </si>
  <si>
    <t>La planification est réalisée suivant la disponibilité des ressources humaines</t>
  </si>
  <si>
    <t>La planification est réalisée suivant la disponibilité des outillages et pièces</t>
  </si>
  <si>
    <t>On sait affecter les ressources en fonction des besoins (temps, procédures, outillages...)</t>
  </si>
  <si>
    <t>Les interventions préventives sont planifiées</t>
  </si>
  <si>
    <t>La charge de travail à effectuer est maîtrisée</t>
  </si>
  <si>
    <t>On émet régulièrement un rapport d'activité de la charge (planifié, en-cours, réalisé)</t>
  </si>
  <si>
    <t>Le suivi et l'adaptation des actions préventives est assuré par une personne du service</t>
  </si>
  <si>
    <t>Il existe un planning hebdomadaire de lancement des travaux (neufs, correctifs, d'amélioration,...)</t>
  </si>
  <si>
    <t>Les interventions externes (co-traitance) sont gérées, préparées...</t>
  </si>
  <si>
    <t>On visualise facilement l'état d'avancement des travaux</t>
  </si>
  <si>
    <t>Il existe un moyen de choisir le(s) intervenant(s) le(s) plus adapté(s) à l'intervention</t>
  </si>
  <si>
    <t>PLANIFICATION - PREVENTION</t>
  </si>
  <si>
    <t>Gestion des équipements</t>
  </si>
  <si>
    <t>Maintenance de 1er niveau</t>
  </si>
  <si>
    <t>Gestion des stocks</t>
  </si>
  <si>
    <t>Gestion des travaux</t>
  </si>
  <si>
    <t>Analyse FMDS</t>
  </si>
  <si>
    <t>Analyse des coûts</t>
  </si>
  <si>
    <t>Base de données</t>
  </si>
  <si>
    <t>Planification - prévention</t>
  </si>
  <si>
    <t>Sans</t>
  </si>
  <si>
    <t>objet</t>
  </si>
  <si>
    <t>GRAPHE RADAR : VOTRE POSITION</t>
  </si>
  <si>
    <t>MAINTENANCE DE PREMIER NIVEAU</t>
  </si>
  <si>
    <t>GESTION DES STOCKS ET DES PIECES DE RECHANGE</t>
  </si>
  <si>
    <t>Affirmations concernant la maintenance de 1er niveau</t>
  </si>
  <si>
    <t>VOUS</t>
  </si>
  <si>
    <t>Eliminatoire 1er niveau</t>
  </si>
  <si>
    <t>Valeur 1 si Eliminatoire</t>
  </si>
  <si>
    <t>Eliminatoire 2ième niveau</t>
  </si>
  <si>
    <t>Valeur Excel</t>
  </si>
  <si>
    <t>zone de groupe</t>
  </si>
  <si>
    <t>Valeur 1</t>
  </si>
  <si>
    <t>si Sans objet</t>
  </si>
  <si>
    <t>Eliminatoire</t>
  </si>
  <si>
    <t>Note</t>
  </si>
  <si>
    <t>/ 15</t>
  </si>
  <si>
    <t>/ 1</t>
  </si>
  <si>
    <t>Commentaire(s) :</t>
  </si>
  <si>
    <t xml:space="preserve">On a un inventaire par emplacement, en ligne... des équipements </t>
  </si>
  <si>
    <t>Nb 1er niveau</t>
  </si>
  <si>
    <t>1er niveau</t>
  </si>
  <si>
    <t>Câtégorie</t>
  </si>
  <si>
    <t>Cet item est en catégorie</t>
  </si>
  <si>
    <t>/ 8</t>
  </si>
  <si>
    <t>2nd niveau</t>
  </si>
  <si>
    <t>/ 14</t>
  </si>
  <si>
    <t>/ 12</t>
  </si>
  <si>
    <t>Nb 2nd niveau</t>
  </si>
  <si>
    <t>/ 10</t>
  </si>
  <si>
    <t>/ 13</t>
  </si>
  <si>
    <r>
      <t xml:space="preserve">La maîtrise est d'autant meilleure que la maintenance couvre la </t>
    </r>
    <r>
      <rPr>
        <b/>
        <sz val="9"/>
        <color indexed="52"/>
        <rFont val="Arial"/>
        <family val="2"/>
      </rPr>
      <t>zone des notes maximales</t>
    </r>
    <r>
      <rPr>
        <b/>
        <sz val="9"/>
        <rFont val="Arial"/>
        <family val="2"/>
      </rPr>
      <t>.</t>
    </r>
  </si>
  <si>
    <r>
      <t xml:space="preserve">Pour être considérée comme correctement maîtrisée </t>
    </r>
    <r>
      <rPr>
        <b/>
        <sz val="9"/>
        <color indexed="48"/>
        <rFont val="Arial"/>
        <family val="2"/>
      </rPr>
      <t>votre maintenance</t>
    </r>
    <r>
      <rPr>
        <b/>
        <sz val="9"/>
        <rFont val="Arial"/>
        <family val="2"/>
      </rPr>
      <t xml:space="preserve"> doit couvrir la </t>
    </r>
    <r>
      <rPr>
        <b/>
        <sz val="9"/>
        <color indexed="10"/>
        <rFont val="Arial"/>
        <family val="2"/>
      </rPr>
      <t>zone d'expertise</t>
    </r>
    <r>
      <rPr>
        <b/>
        <sz val="9"/>
        <rFont val="Arial"/>
        <family val="2"/>
      </rPr>
      <t>.</t>
    </r>
  </si>
  <si>
    <t>Expertise</t>
  </si>
  <si>
    <t>Note max.</t>
  </si>
  <si>
    <t>RESULTATS de l'AUTO-DIAGNOSTIC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</si>
</sst>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3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sz val="16"/>
      <name val="Arial"/>
      <family val="2"/>
    </font>
    <font>
      <b/>
      <sz val="16"/>
      <name val="Geneva"/>
      <family val="0"/>
    </font>
    <font>
      <sz val="9"/>
      <name val="Genev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color indexed="10"/>
      <name val="Geneva"/>
      <family val="0"/>
    </font>
    <font>
      <b/>
      <sz val="10"/>
      <color indexed="62"/>
      <name val="Arial"/>
      <family val="2"/>
    </font>
    <font>
      <b/>
      <sz val="9"/>
      <color indexed="62"/>
      <name val="Geneva"/>
      <family val="0"/>
    </font>
    <font>
      <sz val="10"/>
      <color indexed="62"/>
      <name val="Arial"/>
      <family val="0"/>
    </font>
    <font>
      <b/>
      <sz val="10"/>
      <color indexed="62"/>
      <name val="Geneva"/>
      <family val="0"/>
    </font>
    <font>
      <b/>
      <sz val="11"/>
      <color indexed="62"/>
      <name val="Geneva"/>
      <family val="0"/>
    </font>
    <font>
      <b/>
      <sz val="11"/>
      <color indexed="10"/>
      <name val="Geneva"/>
      <family val="0"/>
    </font>
    <font>
      <b/>
      <sz val="11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48"/>
      <name val="Arial"/>
      <family val="2"/>
    </font>
    <font>
      <b/>
      <sz val="9"/>
      <color indexed="52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Continuous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Continuous" vertical="center"/>
    </xf>
    <xf numFmtId="0" fontId="2" fillId="34" borderId="19" xfId="0" applyFont="1" applyFill="1" applyBorder="1" applyAlignment="1">
      <alignment horizontal="centerContinuous"/>
    </xf>
    <xf numFmtId="0" fontId="2" fillId="34" borderId="21" xfId="0" applyFont="1" applyFill="1" applyBorder="1" applyAlignment="1">
      <alignment horizontal="centerContinuous" vertical="center"/>
    </xf>
    <xf numFmtId="0" fontId="2" fillId="34" borderId="20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 applyProtection="1">
      <alignment horizontal="centerContinuous" vertical="center"/>
      <protection/>
    </xf>
    <xf numFmtId="0" fontId="2" fillId="34" borderId="13" xfId="0" applyFont="1" applyFill="1" applyBorder="1" applyAlignment="1" applyProtection="1">
      <alignment horizontal="centerContinuous" vertical="center"/>
      <protection/>
    </xf>
    <xf numFmtId="0" fontId="2" fillId="34" borderId="14" xfId="0" applyFont="1" applyFill="1" applyBorder="1" applyAlignment="1" applyProtection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/>
    </xf>
    <xf numFmtId="0" fontId="11" fillId="34" borderId="19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7" fillId="35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/>
    </xf>
    <xf numFmtId="0" fontId="13" fillId="34" borderId="22" xfId="0" applyFont="1" applyFill="1" applyBorder="1" applyAlignment="1" applyProtection="1">
      <alignment horizontal="right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3" fillId="34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 applyProtection="1">
      <alignment horizontal="right" vertical="center"/>
      <protection locked="0"/>
    </xf>
    <xf numFmtId="0" fontId="12" fillId="34" borderId="0" xfId="0" applyFont="1" applyFill="1" applyBorder="1" applyAlignment="1">
      <alignment vertical="center"/>
    </xf>
    <xf numFmtId="0" fontId="14" fillId="34" borderId="0" xfId="0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14" fillId="34" borderId="22" xfId="0" applyFont="1" applyFill="1" applyBorder="1" applyAlignment="1">
      <alignment horizontal="left" vertical="center"/>
    </xf>
    <xf numFmtId="0" fontId="16" fillId="34" borderId="23" xfId="0" applyFont="1" applyFill="1" applyBorder="1" applyAlignment="1">
      <alignment horizontal="right" vertical="center"/>
    </xf>
    <xf numFmtId="0" fontId="1" fillId="34" borderId="22" xfId="0" applyFont="1" applyFill="1" applyBorder="1" applyAlignment="1">
      <alignment horizontal="centerContinuous" vertical="center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4" borderId="14" xfId="0" applyFont="1" applyFill="1" applyBorder="1" applyAlignment="1">
      <alignment/>
    </xf>
    <xf numFmtId="0" fontId="17" fillId="34" borderId="23" xfId="0" applyFont="1" applyFill="1" applyBorder="1" applyAlignment="1">
      <alignment horizontal="center" vertical="center"/>
    </xf>
    <xf numFmtId="0" fontId="18" fillId="34" borderId="12" xfId="0" applyFont="1" applyFill="1" applyBorder="1" applyAlignment="1" applyProtection="1">
      <alignment horizontal="right" vertical="center"/>
      <protection locked="0"/>
    </xf>
    <xf numFmtId="0" fontId="18" fillId="34" borderId="14" xfId="0" applyFont="1" applyFill="1" applyBorder="1" applyAlignment="1">
      <alignment vertical="center"/>
    </xf>
    <xf numFmtId="0" fontId="17" fillId="34" borderId="15" xfId="0" applyFont="1" applyFill="1" applyBorder="1" applyAlignment="1" applyProtection="1">
      <alignment horizontal="center" vertical="center"/>
      <protection locked="0"/>
    </xf>
    <xf numFmtId="0" fontId="18" fillId="34" borderId="14" xfId="0" applyFont="1" applyFill="1" applyBorder="1" applyAlignment="1">
      <alignment horizontal="left" vertical="center"/>
    </xf>
    <xf numFmtId="0" fontId="18" fillId="34" borderId="22" xfId="0" applyFont="1" applyFill="1" applyBorder="1" applyAlignment="1" applyProtection="1">
      <alignment horizontal="right" vertical="center"/>
      <protection locked="0"/>
    </xf>
    <xf numFmtId="0" fontId="18" fillId="34" borderId="16" xfId="0" applyFont="1" applyFill="1" applyBorder="1" applyAlignment="1">
      <alignment vertical="center"/>
    </xf>
    <xf numFmtId="0" fontId="7" fillId="34" borderId="22" xfId="0" applyFont="1" applyFill="1" applyBorder="1" applyAlignment="1" applyProtection="1">
      <alignment horizontal="center"/>
      <protection locked="0"/>
    </xf>
    <xf numFmtId="0" fontId="7" fillId="34" borderId="22" xfId="0" applyFont="1" applyFill="1" applyBorder="1" applyAlignment="1" applyProtection="1">
      <alignment horizontal="right"/>
      <protection locked="0"/>
    </xf>
    <xf numFmtId="0" fontId="19" fillId="37" borderId="23" xfId="0" applyFont="1" applyFill="1" applyBorder="1" applyAlignment="1" applyProtection="1">
      <alignment horizontal="center" vertical="center"/>
      <protection locked="0"/>
    </xf>
    <xf numFmtId="0" fontId="19" fillId="38" borderId="23" xfId="0" applyFont="1" applyFill="1" applyBorder="1" applyAlignment="1" applyProtection="1">
      <alignment horizontal="center" vertical="center"/>
      <protection locked="0"/>
    </xf>
    <xf numFmtId="0" fontId="19" fillId="39" borderId="23" xfId="0" applyFont="1" applyFill="1" applyBorder="1" applyAlignment="1" applyProtection="1">
      <alignment horizontal="center" vertical="center"/>
      <protection locked="0"/>
    </xf>
    <xf numFmtId="0" fontId="19" fillId="40" borderId="23" xfId="0" applyFont="1" applyFill="1" applyBorder="1" applyAlignment="1" applyProtection="1">
      <alignment horizontal="center" vertical="center"/>
      <protection locked="0"/>
    </xf>
    <xf numFmtId="0" fontId="17" fillId="34" borderId="2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22" fillId="35" borderId="15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4" fillId="35" borderId="21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8" fillId="35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34" borderId="2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16" fillId="34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12825"/>
          <c:w val="0.51925"/>
          <c:h val="0.62125"/>
        </c:manualLayout>
      </c:layout>
      <c:radarChart>
        <c:radarStyle val="filled"/>
        <c:varyColors val="0"/>
        <c:ser>
          <c:idx val="0"/>
          <c:order val="0"/>
          <c:tx>
            <c:strRef>
              <c:f>GrapheRadar!$G$40</c:f>
              <c:strCache>
                <c:ptCount val="1"/>
                <c:pt idx="0">
                  <c:v>Note max.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GrapheRadar!$D$41:$D$48</c:f>
              <c:strCache/>
            </c:strRef>
          </c:cat>
          <c:val>
            <c:numRef>
              <c:f>GrapheRadar!$G$41:$G$48</c:f>
              <c:numCache/>
            </c:numRef>
          </c:val>
        </c:ser>
        <c:ser>
          <c:idx val="1"/>
          <c:order val="1"/>
          <c:tx>
            <c:strRef>
              <c:f>GrapheRadar!$F$40</c:f>
              <c:strCache>
                <c:ptCount val="1"/>
                <c:pt idx="0">
                  <c:v>Expertise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GrapheRadar!$D$41:$D$48</c:f>
              <c:strCache/>
            </c:strRef>
          </c:cat>
          <c:val>
            <c:numRef>
              <c:f>GrapheRadar!$F$41:$F$48</c:f>
              <c:numCache/>
            </c:numRef>
          </c:val>
        </c:ser>
        <c:ser>
          <c:idx val="2"/>
          <c:order val="2"/>
          <c:tx>
            <c:strRef>
              <c:f>GrapheRadar!$E$40</c:f>
              <c:strCache>
                <c:ptCount val="1"/>
                <c:pt idx="0">
                  <c:v>VOUS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GrapheRadar!$D$41:$D$48</c:f>
              <c:strCache/>
            </c:strRef>
          </c:cat>
          <c:val>
            <c:numRef>
              <c:f>GrapheRadar!$E$41:$E$48</c:f>
              <c:numCache/>
            </c:numRef>
          </c:val>
        </c:ser>
        <c:axId val="43640524"/>
        <c:axId val="57220397"/>
      </c:radarChart>
      <c:catAx>
        <c:axId val="436405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0397"/>
        <c:crosses val="autoZero"/>
        <c:auto val="0"/>
        <c:lblOffset val="100"/>
        <c:tickLblSkip val="1"/>
        <c:noMultiLvlLbl val="0"/>
      </c:catAx>
      <c:valAx>
        <c:axId val="5722039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0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5"/>
          <c:y val="0.93575"/>
          <c:w val="0.688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19</xdr:row>
      <xdr:rowOff>104775</xdr:rowOff>
    </xdr:from>
    <xdr:to>
      <xdr:col>0</xdr:col>
      <xdr:colOff>771525</xdr:colOff>
      <xdr:row>19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628650" y="348615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35</xdr:row>
      <xdr:rowOff>85725</xdr:rowOff>
    </xdr:from>
    <xdr:to>
      <xdr:col>0</xdr:col>
      <xdr:colOff>762000</xdr:colOff>
      <xdr:row>35</xdr:row>
      <xdr:rowOff>85725</xdr:rowOff>
    </xdr:to>
    <xdr:sp>
      <xdr:nvSpPr>
        <xdr:cNvPr id="2" name="Line 18"/>
        <xdr:cNvSpPr>
          <a:spLocks/>
        </xdr:cNvSpPr>
      </xdr:nvSpPr>
      <xdr:spPr>
        <a:xfrm>
          <a:off x="619125" y="632460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57</xdr:row>
      <xdr:rowOff>85725</xdr:rowOff>
    </xdr:from>
    <xdr:to>
      <xdr:col>0</xdr:col>
      <xdr:colOff>762000</xdr:colOff>
      <xdr:row>57</xdr:row>
      <xdr:rowOff>85725</xdr:rowOff>
    </xdr:to>
    <xdr:sp>
      <xdr:nvSpPr>
        <xdr:cNvPr id="3" name="Line 20"/>
        <xdr:cNvSpPr>
          <a:spLocks/>
        </xdr:cNvSpPr>
      </xdr:nvSpPr>
      <xdr:spPr>
        <a:xfrm>
          <a:off x="619125" y="10086975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77</xdr:row>
      <xdr:rowOff>85725</xdr:rowOff>
    </xdr:from>
    <xdr:to>
      <xdr:col>0</xdr:col>
      <xdr:colOff>762000</xdr:colOff>
      <xdr:row>77</xdr:row>
      <xdr:rowOff>85725</xdr:rowOff>
    </xdr:to>
    <xdr:sp>
      <xdr:nvSpPr>
        <xdr:cNvPr id="4" name="Line 21"/>
        <xdr:cNvSpPr>
          <a:spLocks/>
        </xdr:cNvSpPr>
      </xdr:nvSpPr>
      <xdr:spPr>
        <a:xfrm>
          <a:off x="619125" y="1360170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98</xdr:row>
      <xdr:rowOff>85725</xdr:rowOff>
    </xdr:from>
    <xdr:to>
      <xdr:col>0</xdr:col>
      <xdr:colOff>762000</xdr:colOff>
      <xdr:row>98</xdr:row>
      <xdr:rowOff>85725</xdr:rowOff>
    </xdr:to>
    <xdr:sp>
      <xdr:nvSpPr>
        <xdr:cNvPr id="5" name="Line 22"/>
        <xdr:cNvSpPr>
          <a:spLocks/>
        </xdr:cNvSpPr>
      </xdr:nvSpPr>
      <xdr:spPr>
        <a:xfrm>
          <a:off x="619125" y="1724025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116</xdr:row>
      <xdr:rowOff>85725</xdr:rowOff>
    </xdr:from>
    <xdr:to>
      <xdr:col>0</xdr:col>
      <xdr:colOff>762000</xdr:colOff>
      <xdr:row>116</xdr:row>
      <xdr:rowOff>85725</xdr:rowOff>
    </xdr:to>
    <xdr:sp>
      <xdr:nvSpPr>
        <xdr:cNvPr id="6" name="Line 23"/>
        <xdr:cNvSpPr>
          <a:spLocks/>
        </xdr:cNvSpPr>
      </xdr:nvSpPr>
      <xdr:spPr>
        <a:xfrm>
          <a:off x="619125" y="20393025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133</xdr:row>
      <xdr:rowOff>85725</xdr:rowOff>
    </xdr:from>
    <xdr:to>
      <xdr:col>0</xdr:col>
      <xdr:colOff>762000</xdr:colOff>
      <xdr:row>133</xdr:row>
      <xdr:rowOff>85725</xdr:rowOff>
    </xdr:to>
    <xdr:sp>
      <xdr:nvSpPr>
        <xdr:cNvPr id="7" name="Line 24"/>
        <xdr:cNvSpPr>
          <a:spLocks/>
        </xdr:cNvSpPr>
      </xdr:nvSpPr>
      <xdr:spPr>
        <a:xfrm>
          <a:off x="619125" y="23383875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153</xdr:row>
      <xdr:rowOff>85725</xdr:rowOff>
    </xdr:from>
    <xdr:to>
      <xdr:col>0</xdr:col>
      <xdr:colOff>762000</xdr:colOff>
      <xdr:row>153</xdr:row>
      <xdr:rowOff>85725</xdr:rowOff>
    </xdr:to>
    <xdr:sp>
      <xdr:nvSpPr>
        <xdr:cNvPr id="8" name="Line 25"/>
        <xdr:cNvSpPr>
          <a:spLocks/>
        </xdr:cNvSpPr>
      </xdr:nvSpPr>
      <xdr:spPr>
        <a:xfrm>
          <a:off x="619125" y="26860500"/>
          <a:ext cx="1428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7</xdr:col>
      <xdr:colOff>752475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23825" y="771525"/>
        <a:ext cx="57721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T27"/>
  <sheetViews>
    <sheetView zoomScalePageLayoutView="0" workbookViewId="0" topLeftCell="A1">
      <selection activeCell="W47" sqref="W47"/>
    </sheetView>
  </sheetViews>
  <sheetFormatPr defaultColWidth="11.421875" defaultRowHeight="12.75"/>
  <cols>
    <col min="1" max="2" width="2.7109375" style="1" customWidth="1"/>
    <col min="3" max="3" width="6.00390625" style="1" customWidth="1"/>
    <col min="4" max="10" width="11.421875" style="1" customWidth="1"/>
    <col min="11" max="15" width="6.7109375" style="1" customWidth="1"/>
    <col min="16" max="16" width="2.7109375" style="1" customWidth="1"/>
    <col min="17" max="17" width="9.00390625" style="1" hidden="1" customWidth="1"/>
    <col min="18" max="18" width="9.421875" style="1" hidden="1" customWidth="1"/>
    <col min="19" max="19" width="8.421875" style="1" hidden="1" customWidth="1"/>
    <col min="20" max="20" width="7.7109375" style="1" hidden="1" customWidth="1"/>
    <col min="21" max="16384" width="11.421875" style="1" customWidth="1"/>
  </cols>
  <sheetData>
    <row r="1" spans="2:16" ht="12" customHeight="1">
      <c r="B1" s="110"/>
      <c r="C1" s="112" t="s">
        <v>21</v>
      </c>
      <c r="D1" s="112"/>
      <c r="E1" s="112"/>
      <c r="F1" s="112"/>
      <c r="G1" s="112"/>
      <c r="H1" s="112"/>
      <c r="I1" s="112"/>
      <c r="J1" s="112"/>
      <c r="K1" s="112"/>
      <c r="L1" s="113"/>
      <c r="M1" s="117">
        <v>1</v>
      </c>
      <c r="N1" s="118"/>
      <c r="O1" s="118"/>
      <c r="P1" s="119"/>
    </row>
    <row r="2" spans="2:16" ht="12" customHeight="1">
      <c r="B2" s="111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20"/>
      <c r="N2" s="121"/>
      <c r="O2" s="121"/>
      <c r="P2" s="122"/>
    </row>
    <row r="3" spans="2:16" ht="24.7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2:20" ht="12.75">
      <c r="B4" s="3"/>
      <c r="C4" s="4"/>
      <c r="D4" s="116" t="s">
        <v>0</v>
      </c>
      <c r="E4" s="116"/>
      <c r="F4" s="116"/>
      <c r="G4" s="116"/>
      <c r="H4" s="116"/>
      <c r="I4" s="116"/>
      <c r="J4" s="116"/>
      <c r="K4" s="123" t="s">
        <v>1</v>
      </c>
      <c r="L4" s="23" t="s">
        <v>2</v>
      </c>
      <c r="M4" s="21" t="s">
        <v>2</v>
      </c>
      <c r="N4" s="124" t="s">
        <v>3</v>
      </c>
      <c r="O4" s="25" t="s">
        <v>119</v>
      </c>
      <c r="P4" s="4"/>
      <c r="Q4" s="53" t="s">
        <v>129</v>
      </c>
      <c r="R4" s="53" t="s">
        <v>131</v>
      </c>
      <c r="S4" s="53" t="s">
        <v>126</v>
      </c>
      <c r="T4" s="50" t="s">
        <v>128</v>
      </c>
    </row>
    <row r="5" spans="2:20" ht="12.75">
      <c r="B5" s="3"/>
      <c r="C5" s="4"/>
      <c r="D5" s="116"/>
      <c r="E5" s="116"/>
      <c r="F5" s="116"/>
      <c r="G5" s="116"/>
      <c r="H5" s="116"/>
      <c r="I5" s="116"/>
      <c r="J5" s="116"/>
      <c r="K5" s="123"/>
      <c r="L5" s="24" t="s">
        <v>4</v>
      </c>
      <c r="M5" s="22" t="s">
        <v>5</v>
      </c>
      <c r="N5" s="124"/>
      <c r="O5" s="26" t="s">
        <v>120</v>
      </c>
      <c r="P5" s="4"/>
      <c r="Q5" s="54" t="s">
        <v>130</v>
      </c>
      <c r="R5" s="54" t="s">
        <v>132</v>
      </c>
      <c r="S5" s="54" t="s">
        <v>127</v>
      </c>
      <c r="T5" s="52" t="s">
        <v>127</v>
      </c>
    </row>
    <row r="6" spans="2:20" ht="21" customHeight="1">
      <c r="B6" s="3"/>
      <c r="C6" s="19">
        <v>101</v>
      </c>
      <c r="D6" s="20" t="s">
        <v>6</v>
      </c>
      <c r="E6" s="20"/>
      <c r="F6" s="20"/>
      <c r="G6" s="20"/>
      <c r="H6" s="20"/>
      <c r="I6" s="20"/>
      <c r="J6" s="20"/>
      <c r="K6" s="40"/>
      <c r="L6" s="41"/>
      <c r="M6" s="41"/>
      <c r="N6" s="40"/>
      <c r="O6" s="41"/>
      <c r="P6" s="5"/>
      <c r="Q6" s="51">
        <v>5</v>
      </c>
      <c r="R6" s="51">
        <f>IF($Q6=5,1," ")</f>
        <v>1</v>
      </c>
      <c r="S6" s="56" t="str">
        <f>IF($Q6=4,1,IF($Q6=3,1," "))</f>
        <v> </v>
      </c>
      <c r="T6" s="51"/>
    </row>
    <row r="7" spans="2:20" ht="21" customHeight="1">
      <c r="B7" s="3"/>
      <c r="C7" s="19">
        <v>102</v>
      </c>
      <c r="D7" s="20" t="s">
        <v>7</v>
      </c>
      <c r="E7" s="20"/>
      <c r="F7" s="20"/>
      <c r="G7" s="20"/>
      <c r="H7" s="20"/>
      <c r="I7" s="20"/>
      <c r="J7" s="20"/>
      <c r="K7" s="40"/>
      <c r="L7" s="41"/>
      <c r="M7" s="41"/>
      <c r="N7" s="40"/>
      <c r="O7" s="41"/>
      <c r="P7" s="5"/>
      <c r="Q7" s="49">
        <v>5</v>
      </c>
      <c r="R7" s="49">
        <f aca="true" t="shared" si="0" ref="R7:R20">IF(Q7=5,1," ")</f>
        <v>1</v>
      </c>
      <c r="S7" s="49"/>
      <c r="T7" s="57" t="str">
        <f>IF($Q7=4,1,IF($Q7=3,1," "))</f>
        <v> </v>
      </c>
    </row>
    <row r="8" spans="2:20" ht="21" customHeight="1">
      <c r="B8" s="3"/>
      <c r="C8" s="19">
        <v>103</v>
      </c>
      <c r="D8" s="20" t="s">
        <v>8</v>
      </c>
      <c r="E8" s="20"/>
      <c r="F8" s="20"/>
      <c r="G8" s="20"/>
      <c r="H8" s="20"/>
      <c r="I8" s="20"/>
      <c r="J8" s="20"/>
      <c r="K8" s="40"/>
      <c r="L8" s="41"/>
      <c r="M8" s="41"/>
      <c r="N8" s="40"/>
      <c r="O8" s="41"/>
      <c r="P8" s="5"/>
      <c r="Q8" s="49">
        <v>5</v>
      </c>
      <c r="R8" s="49">
        <f t="shared" si="0"/>
        <v>1</v>
      </c>
      <c r="S8" s="59" t="str">
        <f>IF($Q8=4,1,IF($Q8=3,1," "))</f>
        <v> </v>
      </c>
      <c r="T8" s="49"/>
    </row>
    <row r="9" spans="2:20" ht="21" customHeight="1">
      <c r="B9" s="3"/>
      <c r="C9" s="19">
        <v>104</v>
      </c>
      <c r="D9" s="20" t="s">
        <v>9</v>
      </c>
      <c r="E9" s="20"/>
      <c r="F9" s="20"/>
      <c r="G9" s="20"/>
      <c r="H9" s="20"/>
      <c r="I9" s="20"/>
      <c r="J9" s="20"/>
      <c r="K9" s="40"/>
      <c r="L9" s="41"/>
      <c r="M9" s="41"/>
      <c r="N9" s="40"/>
      <c r="O9" s="41"/>
      <c r="P9" s="5"/>
      <c r="Q9" s="49">
        <v>5</v>
      </c>
      <c r="R9" s="49">
        <f t="shared" si="0"/>
        <v>1</v>
      </c>
      <c r="S9" s="49"/>
      <c r="T9" s="49"/>
    </row>
    <row r="10" spans="2:20" ht="21" customHeight="1">
      <c r="B10" s="3"/>
      <c r="C10" s="19">
        <v>105</v>
      </c>
      <c r="D10" s="20" t="s">
        <v>10</v>
      </c>
      <c r="E10" s="20"/>
      <c r="F10" s="20"/>
      <c r="G10" s="20"/>
      <c r="H10" s="20"/>
      <c r="I10" s="20"/>
      <c r="J10" s="20"/>
      <c r="K10" s="40"/>
      <c r="L10" s="41"/>
      <c r="M10" s="41"/>
      <c r="N10" s="40"/>
      <c r="O10" s="41"/>
      <c r="P10" s="5"/>
      <c r="Q10" s="49">
        <v>5</v>
      </c>
      <c r="R10" s="49">
        <f t="shared" si="0"/>
        <v>1</v>
      </c>
      <c r="S10" s="49"/>
      <c r="T10" s="49"/>
    </row>
    <row r="11" spans="2:20" ht="21" customHeight="1">
      <c r="B11" s="3"/>
      <c r="C11" s="19">
        <v>106</v>
      </c>
      <c r="D11" s="20" t="s">
        <v>11</v>
      </c>
      <c r="E11" s="20"/>
      <c r="F11" s="20"/>
      <c r="G11" s="20"/>
      <c r="H11" s="20"/>
      <c r="I11" s="20"/>
      <c r="J11" s="20"/>
      <c r="K11" s="40"/>
      <c r="L11" s="41"/>
      <c r="M11" s="41"/>
      <c r="N11" s="40"/>
      <c r="O11" s="41"/>
      <c r="P11" s="5"/>
      <c r="Q11" s="49">
        <v>5</v>
      </c>
      <c r="R11" s="49">
        <f t="shared" si="0"/>
        <v>1</v>
      </c>
      <c r="S11" s="49"/>
      <c r="T11" s="57" t="str">
        <f>IF($Q11=4,1,IF($Q11=3,1," "))</f>
        <v> </v>
      </c>
    </row>
    <row r="12" spans="2:20" ht="21" customHeight="1">
      <c r="B12" s="3"/>
      <c r="C12" s="19">
        <v>107</v>
      </c>
      <c r="D12" s="20" t="s">
        <v>12</v>
      </c>
      <c r="E12" s="20"/>
      <c r="F12" s="20"/>
      <c r="G12" s="20"/>
      <c r="H12" s="20"/>
      <c r="I12" s="20"/>
      <c r="J12" s="20"/>
      <c r="K12" s="40"/>
      <c r="L12" s="41"/>
      <c r="M12" s="41"/>
      <c r="N12" s="40"/>
      <c r="O12" s="41"/>
      <c r="P12" s="5"/>
      <c r="Q12" s="49">
        <v>5</v>
      </c>
      <c r="R12" s="49">
        <f t="shared" si="0"/>
        <v>1</v>
      </c>
      <c r="S12" s="49"/>
      <c r="T12" s="57" t="str">
        <f>IF($Q12=4,1,IF($Q12=3,1," "))</f>
        <v> </v>
      </c>
    </row>
    <row r="13" spans="2:20" ht="21" customHeight="1">
      <c r="B13" s="3"/>
      <c r="C13" s="19">
        <v>108</v>
      </c>
      <c r="D13" s="20" t="s">
        <v>13</v>
      </c>
      <c r="E13" s="20"/>
      <c r="F13" s="20"/>
      <c r="G13" s="20"/>
      <c r="H13" s="20"/>
      <c r="I13" s="20"/>
      <c r="J13" s="20"/>
      <c r="K13" s="40"/>
      <c r="L13" s="41"/>
      <c r="M13" s="41"/>
      <c r="N13" s="40"/>
      <c r="O13" s="41"/>
      <c r="P13" s="5"/>
      <c r="Q13" s="49">
        <v>5</v>
      </c>
      <c r="R13" s="49">
        <f t="shared" si="0"/>
        <v>1</v>
      </c>
      <c r="S13" s="59" t="str">
        <f>IF($Q13=4,1,IF($Q13=3,1," "))</f>
        <v> </v>
      </c>
      <c r="T13" s="49"/>
    </row>
    <row r="14" spans="2:20" ht="21" customHeight="1">
      <c r="B14" s="3"/>
      <c r="C14" s="19">
        <v>109</v>
      </c>
      <c r="D14" s="20" t="s">
        <v>14</v>
      </c>
      <c r="E14" s="20"/>
      <c r="F14" s="20"/>
      <c r="G14" s="20"/>
      <c r="H14" s="20"/>
      <c r="I14" s="20"/>
      <c r="J14" s="20"/>
      <c r="K14" s="40"/>
      <c r="L14" s="41"/>
      <c r="M14" s="41"/>
      <c r="N14" s="40"/>
      <c r="O14" s="41"/>
      <c r="P14" s="5"/>
      <c r="Q14" s="49">
        <v>5</v>
      </c>
      <c r="R14" s="49">
        <f t="shared" si="0"/>
        <v>1</v>
      </c>
      <c r="S14" s="49"/>
      <c r="T14" s="57" t="str">
        <f>IF($Q14=4,1,IF($Q14=3,1," "))</f>
        <v> </v>
      </c>
    </row>
    <row r="15" spans="2:20" ht="21" customHeight="1">
      <c r="B15" s="3"/>
      <c r="C15" s="19">
        <v>110</v>
      </c>
      <c r="D15" s="20" t="s">
        <v>15</v>
      </c>
      <c r="E15" s="20"/>
      <c r="F15" s="20"/>
      <c r="G15" s="20"/>
      <c r="H15" s="20"/>
      <c r="I15" s="20"/>
      <c r="J15" s="20"/>
      <c r="K15" s="40"/>
      <c r="L15" s="41"/>
      <c r="M15" s="41"/>
      <c r="N15" s="40"/>
      <c r="O15" s="41"/>
      <c r="P15" s="5"/>
      <c r="Q15" s="49">
        <v>5</v>
      </c>
      <c r="R15" s="49">
        <f t="shared" si="0"/>
        <v>1</v>
      </c>
      <c r="S15" s="49"/>
      <c r="T15" s="49"/>
    </row>
    <row r="16" spans="2:20" ht="21" customHeight="1">
      <c r="B16" s="3"/>
      <c r="C16" s="19">
        <v>111</v>
      </c>
      <c r="D16" s="20" t="s">
        <v>16</v>
      </c>
      <c r="E16" s="20"/>
      <c r="F16" s="20"/>
      <c r="G16" s="20"/>
      <c r="H16" s="20"/>
      <c r="I16" s="20"/>
      <c r="J16" s="20"/>
      <c r="K16" s="40"/>
      <c r="L16" s="41"/>
      <c r="M16" s="41"/>
      <c r="N16" s="40"/>
      <c r="O16" s="41"/>
      <c r="P16" s="5"/>
      <c r="Q16" s="49">
        <v>5</v>
      </c>
      <c r="R16" s="49">
        <f t="shared" si="0"/>
        <v>1</v>
      </c>
      <c r="S16" s="49"/>
      <c r="T16" s="57" t="str">
        <f>IF($Q16=4,1,IF($Q16=3,1," "))</f>
        <v> </v>
      </c>
    </row>
    <row r="17" spans="2:20" ht="21" customHeight="1">
      <c r="B17" s="3"/>
      <c r="C17" s="19">
        <v>112</v>
      </c>
      <c r="D17" s="20" t="s">
        <v>17</v>
      </c>
      <c r="E17" s="20"/>
      <c r="F17" s="20"/>
      <c r="G17" s="20"/>
      <c r="H17" s="20"/>
      <c r="I17" s="20"/>
      <c r="J17" s="20"/>
      <c r="K17" s="40"/>
      <c r="L17" s="41"/>
      <c r="M17" s="41"/>
      <c r="N17" s="40"/>
      <c r="O17" s="41"/>
      <c r="P17" s="5"/>
      <c r="Q17" s="49">
        <v>5</v>
      </c>
      <c r="R17" s="49">
        <f t="shared" si="0"/>
        <v>1</v>
      </c>
      <c r="S17" s="49"/>
      <c r="T17" s="49"/>
    </row>
    <row r="18" spans="2:20" ht="21" customHeight="1">
      <c r="B18" s="3"/>
      <c r="C18" s="19">
        <v>113</v>
      </c>
      <c r="D18" s="20" t="s">
        <v>18</v>
      </c>
      <c r="E18" s="20"/>
      <c r="F18" s="20"/>
      <c r="G18" s="20"/>
      <c r="H18" s="20"/>
      <c r="I18" s="20"/>
      <c r="J18" s="20"/>
      <c r="K18" s="40"/>
      <c r="L18" s="41"/>
      <c r="M18" s="41"/>
      <c r="N18" s="40"/>
      <c r="O18" s="41"/>
      <c r="P18" s="5"/>
      <c r="Q18" s="49">
        <v>5</v>
      </c>
      <c r="R18" s="49">
        <f t="shared" si="0"/>
        <v>1</v>
      </c>
      <c r="S18" s="49"/>
      <c r="T18" s="49"/>
    </row>
    <row r="19" spans="2:20" ht="21" customHeight="1">
      <c r="B19" s="3"/>
      <c r="C19" s="19">
        <v>114</v>
      </c>
      <c r="D19" s="20" t="s">
        <v>19</v>
      </c>
      <c r="E19" s="20"/>
      <c r="F19" s="20"/>
      <c r="G19" s="20"/>
      <c r="H19" s="20"/>
      <c r="I19" s="20"/>
      <c r="J19" s="20"/>
      <c r="K19" s="40"/>
      <c r="L19" s="41"/>
      <c r="M19" s="41"/>
      <c r="N19" s="40"/>
      <c r="O19" s="41"/>
      <c r="P19" s="5"/>
      <c r="Q19" s="49">
        <v>5</v>
      </c>
      <c r="R19" s="49">
        <f t="shared" si="0"/>
        <v>1</v>
      </c>
      <c r="S19" s="59" t="str">
        <f>IF($Q19=4,1,IF($Q19=3,1," "))</f>
        <v> </v>
      </c>
      <c r="T19" s="49"/>
    </row>
    <row r="20" spans="2:20" ht="21" customHeight="1">
      <c r="B20" s="3"/>
      <c r="C20" s="19">
        <v>115</v>
      </c>
      <c r="D20" s="20" t="s">
        <v>20</v>
      </c>
      <c r="E20" s="20"/>
      <c r="F20" s="20"/>
      <c r="G20" s="20"/>
      <c r="H20" s="20"/>
      <c r="I20" s="20"/>
      <c r="J20" s="20"/>
      <c r="K20" s="40"/>
      <c r="L20" s="41"/>
      <c r="M20" s="41"/>
      <c r="N20" s="40"/>
      <c r="O20" s="41"/>
      <c r="P20" s="5"/>
      <c r="Q20" s="49">
        <v>5</v>
      </c>
      <c r="R20" s="49">
        <f t="shared" si="0"/>
        <v>1</v>
      </c>
      <c r="S20" s="59" t="str">
        <f>IF($Q20=4,1,IF($Q20=3,1," "))</f>
        <v> </v>
      </c>
      <c r="T20" s="49"/>
    </row>
    <row r="21" spans="2:20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12"/>
      <c r="R21" s="58">
        <f>COUNT(R6:R20)</f>
        <v>15</v>
      </c>
      <c r="S21" s="58">
        <f>COUNT(S6:S20)</f>
        <v>0</v>
      </c>
      <c r="T21" s="58">
        <f>COUNT(T6:T20)</f>
        <v>0</v>
      </c>
    </row>
    <row r="25" spans="12:15" ht="12.75">
      <c r="L25" s="109"/>
      <c r="M25" s="109"/>
      <c r="N25" s="109"/>
      <c r="O25" s="109"/>
    </row>
    <row r="26" spans="12:15" ht="12.75">
      <c r="L26" s="109"/>
      <c r="M26" s="109"/>
      <c r="N26" s="109"/>
      <c r="O26" s="109"/>
    </row>
    <row r="27" spans="12:15" ht="12.75">
      <c r="L27" s="108"/>
      <c r="M27" s="108"/>
      <c r="N27" s="108"/>
      <c r="O27" s="108"/>
    </row>
  </sheetData>
  <sheetProtection password="CC66" sheet="1" objects="1" scenarios="1"/>
  <mergeCells count="10">
    <mergeCell ref="L27:O27"/>
    <mergeCell ref="L25:O25"/>
    <mergeCell ref="L26:O26"/>
    <mergeCell ref="B1:B2"/>
    <mergeCell ref="C1:L2"/>
    <mergeCell ref="D4:J5"/>
    <mergeCell ref="M1:P2"/>
    <mergeCell ref="K4:K5"/>
    <mergeCell ref="N4:N5"/>
    <mergeCell ref="B3:P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C1:H48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.1484375" style="1" customWidth="1"/>
    <col min="2" max="2" width="0.71875" style="1" customWidth="1"/>
    <col min="3" max="3" width="8.57421875" style="1" customWidth="1"/>
    <col min="4" max="4" width="26.8515625" style="1" customWidth="1"/>
    <col min="5" max="5" width="13.140625" style="1" customWidth="1"/>
    <col min="6" max="6" width="13.421875" style="1" customWidth="1"/>
    <col min="7" max="7" width="13.28125" style="1" customWidth="1"/>
    <col min="8" max="8" width="11.421875" style="1" customWidth="1"/>
    <col min="9" max="9" width="2.00390625" style="1" customWidth="1"/>
    <col min="10" max="16384" width="11.421875" style="1" customWidth="1"/>
  </cols>
  <sheetData>
    <row r="1" spans="3:8" ht="9.75" customHeight="1">
      <c r="C1" s="194" t="s">
        <v>121</v>
      </c>
      <c r="D1" s="195"/>
      <c r="E1" s="195"/>
      <c r="F1" s="195"/>
      <c r="G1" s="195"/>
      <c r="H1" s="196"/>
    </row>
    <row r="2" spans="3:8" ht="9.75" customHeight="1">
      <c r="C2" s="197"/>
      <c r="D2" s="198"/>
      <c r="E2" s="198"/>
      <c r="F2" s="198"/>
      <c r="G2" s="198"/>
      <c r="H2" s="199"/>
    </row>
    <row r="3" spans="3:8" ht="3.75" customHeight="1">
      <c r="C3" s="16"/>
      <c r="D3" s="16"/>
      <c r="E3" s="16"/>
      <c r="F3" s="16"/>
      <c r="G3" s="16"/>
      <c r="H3" s="16"/>
    </row>
    <row r="4" spans="3:8" ht="20.25" customHeight="1">
      <c r="C4" s="200" t="s">
        <v>151</v>
      </c>
      <c r="D4" s="200"/>
      <c r="E4" s="200"/>
      <c r="F4" s="200"/>
      <c r="G4" s="200"/>
      <c r="H4" s="200"/>
    </row>
    <row r="5" spans="3:8" ht="12.75">
      <c r="C5" s="200" t="s">
        <v>150</v>
      </c>
      <c r="D5" s="200"/>
      <c r="E5" s="200"/>
      <c r="F5" s="200"/>
      <c r="G5" s="200"/>
      <c r="H5" s="200"/>
    </row>
    <row r="6" ht="3.75" customHeight="1"/>
    <row r="40" spans="4:7" ht="12.75">
      <c r="D40" s="10"/>
      <c r="E40" s="14" t="s">
        <v>125</v>
      </c>
      <c r="F40" s="13" t="s">
        <v>152</v>
      </c>
      <c r="G40" s="13" t="s">
        <v>153</v>
      </c>
    </row>
    <row r="41" spans="4:7" ht="12.75">
      <c r="D41" s="15" t="s">
        <v>111</v>
      </c>
      <c r="E41" s="49">
        <f>Résultats!I20</f>
        <v>0</v>
      </c>
      <c r="F41" s="11">
        <v>9</v>
      </c>
      <c r="G41" s="11">
        <v>15</v>
      </c>
    </row>
    <row r="42" spans="4:7" ht="12.75">
      <c r="D42" s="12" t="s">
        <v>112</v>
      </c>
      <c r="E42" s="49">
        <f>Résultats!I36</f>
        <v>0</v>
      </c>
      <c r="F42" s="11">
        <v>4</v>
      </c>
      <c r="G42" s="11">
        <v>8</v>
      </c>
    </row>
    <row r="43" spans="4:7" ht="12.75">
      <c r="D43" s="12" t="s">
        <v>113</v>
      </c>
      <c r="E43" s="49">
        <f>Résultats!I58</f>
        <v>0</v>
      </c>
      <c r="F43" s="11">
        <v>6</v>
      </c>
      <c r="G43" s="11">
        <v>14</v>
      </c>
    </row>
    <row r="44" spans="4:7" ht="12.75">
      <c r="D44" s="12" t="s">
        <v>114</v>
      </c>
      <c r="E44" s="49">
        <f>Résultats!I78</f>
        <v>0</v>
      </c>
      <c r="F44" s="11">
        <v>8</v>
      </c>
      <c r="G44" s="11">
        <v>12</v>
      </c>
    </row>
    <row r="45" spans="4:7" ht="12.75">
      <c r="D45" s="12" t="s">
        <v>115</v>
      </c>
      <c r="E45" s="49">
        <f>Résultats!I99</f>
        <v>0</v>
      </c>
      <c r="F45" s="11">
        <v>8</v>
      </c>
      <c r="G45" s="11">
        <v>13</v>
      </c>
    </row>
    <row r="46" spans="4:7" ht="12.75">
      <c r="D46" s="12" t="s">
        <v>116</v>
      </c>
      <c r="E46" s="49">
        <f>Résultats!I117</f>
        <v>0</v>
      </c>
      <c r="F46" s="11">
        <v>5</v>
      </c>
      <c r="G46" s="11">
        <v>10</v>
      </c>
    </row>
    <row r="47" spans="4:7" ht="12.75">
      <c r="D47" s="12" t="s">
        <v>117</v>
      </c>
      <c r="E47" s="49">
        <f>Résultats!I134</f>
        <v>0</v>
      </c>
      <c r="F47" s="11">
        <v>4</v>
      </c>
      <c r="G47" s="11">
        <v>9</v>
      </c>
    </row>
    <row r="48" spans="4:7" ht="12.75">
      <c r="D48" s="12" t="s">
        <v>118</v>
      </c>
      <c r="E48" s="49">
        <f>Résultats!I154</f>
        <v>0</v>
      </c>
      <c r="F48" s="11">
        <v>4</v>
      </c>
      <c r="G48" s="11">
        <v>13</v>
      </c>
    </row>
  </sheetData>
  <sheetProtection password="CC66" sheet="1" objects="1" scenarios="1"/>
  <mergeCells count="3">
    <mergeCell ref="C1:H2"/>
    <mergeCell ref="C5:H5"/>
    <mergeCell ref="C4:H4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25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2" width="2.7109375" style="1" customWidth="1"/>
    <col min="3" max="3" width="6.28125" style="1" customWidth="1"/>
    <col min="4" max="10" width="11.421875" style="1" customWidth="1"/>
    <col min="11" max="15" width="6.7109375" style="1" customWidth="1"/>
    <col min="16" max="16" width="2.7109375" style="1" customWidth="1"/>
    <col min="17" max="17" width="14.8515625" style="1" hidden="1" customWidth="1"/>
    <col min="18" max="18" width="12.57421875" style="1" hidden="1" customWidth="1"/>
    <col min="19" max="19" width="20.8515625" style="1" hidden="1" customWidth="1"/>
    <col min="20" max="20" width="23.00390625" style="1" hidden="1" customWidth="1"/>
    <col min="21" max="16384" width="11.421875" style="1" customWidth="1"/>
  </cols>
  <sheetData>
    <row r="1" ht="12.75">
      <c r="A1" s="9"/>
    </row>
    <row r="2" spans="1:16" ht="12.75">
      <c r="A2" s="9"/>
      <c r="B2" s="110"/>
      <c r="C2" s="112" t="s">
        <v>30</v>
      </c>
      <c r="D2" s="112"/>
      <c r="E2" s="112"/>
      <c r="F2" s="112"/>
      <c r="G2" s="112"/>
      <c r="H2" s="112"/>
      <c r="I2" s="112"/>
      <c r="J2" s="112"/>
      <c r="K2" s="112"/>
      <c r="L2" s="113"/>
      <c r="M2" s="117">
        <v>2</v>
      </c>
      <c r="N2" s="118"/>
      <c r="O2" s="118"/>
      <c r="P2" s="119"/>
    </row>
    <row r="3" spans="1:16" ht="21.75" customHeight="1">
      <c r="A3" s="9"/>
      <c r="B3" s="111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20"/>
      <c r="N3" s="121"/>
      <c r="O3" s="121"/>
      <c r="P3" s="122"/>
    </row>
    <row r="4" spans="1:16" ht="21" customHeight="1">
      <c r="A4" s="9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20" ht="12.75">
      <c r="A5" s="9"/>
      <c r="B5" s="3"/>
      <c r="C5" s="4"/>
      <c r="D5" s="30" t="s">
        <v>124</v>
      </c>
      <c r="E5" s="31"/>
      <c r="F5" s="31"/>
      <c r="G5" s="31"/>
      <c r="H5" s="31"/>
      <c r="I5" s="31"/>
      <c r="J5" s="32"/>
      <c r="K5" s="128" t="s">
        <v>1</v>
      </c>
      <c r="L5" s="21" t="s">
        <v>2</v>
      </c>
      <c r="M5" s="27" t="s">
        <v>2</v>
      </c>
      <c r="N5" s="124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1:20" ht="12.75">
      <c r="A6" s="9"/>
      <c r="B6" s="3"/>
      <c r="C6" s="4"/>
      <c r="D6" s="33"/>
      <c r="E6" s="34"/>
      <c r="F6" s="34"/>
      <c r="G6" s="34"/>
      <c r="H6" s="34"/>
      <c r="I6" s="34"/>
      <c r="J6" s="35"/>
      <c r="K6" s="128"/>
      <c r="L6" s="22" t="s">
        <v>4</v>
      </c>
      <c r="M6" s="28" t="s">
        <v>5</v>
      </c>
      <c r="N6" s="124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1:20" ht="21" customHeight="1">
      <c r="A7" s="9"/>
      <c r="B7" s="3"/>
      <c r="C7" s="21">
        <v>201</v>
      </c>
      <c r="D7" s="29" t="s">
        <v>22</v>
      </c>
      <c r="E7" s="29"/>
      <c r="F7" s="29"/>
      <c r="G7" s="29"/>
      <c r="H7" s="29"/>
      <c r="I7" s="29"/>
      <c r="J7" s="29"/>
      <c r="K7" s="40"/>
      <c r="L7" s="41"/>
      <c r="M7" s="41"/>
      <c r="N7" s="40"/>
      <c r="O7" s="41"/>
      <c r="P7" s="5"/>
      <c r="Q7" s="49">
        <v>5</v>
      </c>
      <c r="R7" s="49">
        <f>IF(Q7=5,1," ")</f>
        <v>1</v>
      </c>
      <c r="S7" s="56" t="str">
        <f>IF($Q7=4,1,IF($Q7=3,1," "))</f>
        <v> </v>
      </c>
      <c r="T7" s="51"/>
    </row>
    <row r="8" spans="1:20" ht="21" customHeight="1">
      <c r="A8" s="9"/>
      <c r="B8" s="3"/>
      <c r="C8" s="21">
        <v>202</v>
      </c>
      <c r="D8" s="20" t="s">
        <v>23</v>
      </c>
      <c r="E8" s="20"/>
      <c r="F8" s="20"/>
      <c r="G8" s="20"/>
      <c r="H8" s="20"/>
      <c r="I8" s="20"/>
      <c r="J8" s="20"/>
      <c r="K8" s="40"/>
      <c r="L8" s="41"/>
      <c r="M8" s="41"/>
      <c r="N8" s="40"/>
      <c r="O8" s="41"/>
      <c r="P8" s="5"/>
      <c r="Q8" s="49">
        <v>5</v>
      </c>
      <c r="R8" s="49">
        <f aca="true" t="shared" si="0" ref="R8:R14">IF(Q8=5,1," ")</f>
        <v>1</v>
      </c>
      <c r="S8" s="49"/>
      <c r="T8" s="51"/>
    </row>
    <row r="9" spans="1:20" ht="21" customHeight="1">
      <c r="A9" s="9"/>
      <c r="B9" s="3"/>
      <c r="C9" s="21">
        <v>203</v>
      </c>
      <c r="D9" s="20" t="s">
        <v>24</v>
      </c>
      <c r="E9" s="20"/>
      <c r="F9" s="20"/>
      <c r="G9" s="20"/>
      <c r="H9" s="20"/>
      <c r="I9" s="20"/>
      <c r="J9" s="20"/>
      <c r="K9" s="40"/>
      <c r="L9" s="41"/>
      <c r="M9" s="41"/>
      <c r="N9" s="40"/>
      <c r="O9" s="41"/>
      <c r="P9" s="5"/>
      <c r="Q9" s="49">
        <v>5</v>
      </c>
      <c r="R9" s="49">
        <f t="shared" si="0"/>
        <v>1</v>
      </c>
      <c r="S9" s="49"/>
      <c r="T9" s="57" t="str">
        <f>IF($Q9=4,1,IF($Q9=3,1," "))</f>
        <v> </v>
      </c>
    </row>
    <row r="10" spans="1:20" ht="21" customHeight="1">
      <c r="A10" s="9"/>
      <c r="B10" s="3"/>
      <c r="C10" s="21">
        <v>204</v>
      </c>
      <c r="D10" s="20" t="s">
        <v>25</v>
      </c>
      <c r="E10" s="20"/>
      <c r="F10" s="20"/>
      <c r="G10" s="20"/>
      <c r="H10" s="20"/>
      <c r="I10" s="20"/>
      <c r="J10" s="20"/>
      <c r="K10" s="40"/>
      <c r="L10" s="41"/>
      <c r="M10" s="41"/>
      <c r="N10" s="40"/>
      <c r="O10" s="41"/>
      <c r="P10" s="5"/>
      <c r="Q10" s="49">
        <v>5</v>
      </c>
      <c r="R10" s="49">
        <f t="shared" si="0"/>
        <v>1</v>
      </c>
      <c r="S10" s="49"/>
      <c r="T10" s="49"/>
    </row>
    <row r="11" spans="1:20" ht="21" customHeight="1">
      <c r="A11" s="9"/>
      <c r="B11" s="3"/>
      <c r="C11" s="21">
        <v>205</v>
      </c>
      <c r="D11" s="20" t="s">
        <v>26</v>
      </c>
      <c r="E11" s="20"/>
      <c r="F11" s="20"/>
      <c r="G11" s="20"/>
      <c r="H11" s="20"/>
      <c r="I11" s="20"/>
      <c r="J11" s="20"/>
      <c r="K11" s="40"/>
      <c r="L11" s="41"/>
      <c r="M11" s="41"/>
      <c r="N11" s="40"/>
      <c r="O11" s="41"/>
      <c r="P11" s="5"/>
      <c r="Q11" s="49">
        <v>5</v>
      </c>
      <c r="R11" s="49">
        <f t="shared" si="0"/>
        <v>1</v>
      </c>
      <c r="S11" s="49"/>
      <c r="T11" s="57" t="str">
        <f>IF($Q11=4,1,IF($Q11=3,1," "))</f>
        <v> </v>
      </c>
    </row>
    <row r="12" spans="1:20" ht="21" customHeight="1">
      <c r="A12" s="9"/>
      <c r="B12" s="3"/>
      <c r="C12" s="21">
        <v>206</v>
      </c>
      <c r="D12" s="20" t="s">
        <v>27</v>
      </c>
      <c r="E12" s="20"/>
      <c r="F12" s="20"/>
      <c r="G12" s="20"/>
      <c r="H12" s="20"/>
      <c r="I12" s="20"/>
      <c r="J12" s="20"/>
      <c r="K12" s="40"/>
      <c r="L12" s="41"/>
      <c r="M12" s="41"/>
      <c r="N12" s="40"/>
      <c r="O12" s="41"/>
      <c r="P12" s="5"/>
      <c r="Q12" s="49">
        <v>5</v>
      </c>
      <c r="R12" s="49">
        <f t="shared" si="0"/>
        <v>1</v>
      </c>
      <c r="S12" s="49"/>
      <c r="T12" s="57" t="str">
        <f>IF($Q12=4,1,IF($Q12=3,1," "))</f>
        <v> </v>
      </c>
    </row>
    <row r="13" spans="1:20" ht="21" customHeight="1">
      <c r="A13" s="9"/>
      <c r="B13" s="3"/>
      <c r="C13" s="21">
        <v>207</v>
      </c>
      <c r="D13" s="20" t="s">
        <v>28</v>
      </c>
      <c r="E13" s="20"/>
      <c r="F13" s="20"/>
      <c r="G13" s="20"/>
      <c r="H13" s="20"/>
      <c r="I13" s="20"/>
      <c r="J13" s="20"/>
      <c r="K13" s="40"/>
      <c r="L13" s="41"/>
      <c r="M13" s="41"/>
      <c r="N13" s="40"/>
      <c r="O13" s="41"/>
      <c r="P13" s="5"/>
      <c r="Q13" s="49">
        <v>5</v>
      </c>
      <c r="R13" s="49">
        <f t="shared" si="0"/>
        <v>1</v>
      </c>
      <c r="S13" s="49"/>
      <c r="T13" s="57" t="str">
        <f>IF($Q13=4,1,IF($Q13=3,1," "))</f>
        <v> </v>
      </c>
    </row>
    <row r="14" spans="1:20" ht="21" customHeight="1">
      <c r="A14" s="9"/>
      <c r="B14" s="3"/>
      <c r="C14" s="19">
        <v>208</v>
      </c>
      <c r="D14" s="20" t="s">
        <v>29</v>
      </c>
      <c r="E14" s="20"/>
      <c r="F14" s="20"/>
      <c r="G14" s="20"/>
      <c r="H14" s="20"/>
      <c r="I14" s="20"/>
      <c r="J14" s="20"/>
      <c r="K14" s="40"/>
      <c r="L14" s="41"/>
      <c r="M14" s="41"/>
      <c r="N14" s="40"/>
      <c r="O14" s="41"/>
      <c r="P14" s="5"/>
      <c r="Q14" s="49">
        <v>5</v>
      </c>
      <c r="R14" s="49">
        <f t="shared" si="0"/>
        <v>1</v>
      </c>
      <c r="S14" s="59" t="str">
        <f>IF($Q14=4,1," ")</f>
        <v> </v>
      </c>
      <c r="T14" s="57" t="str">
        <f>IF($Q14=3,1," ")</f>
        <v> </v>
      </c>
    </row>
    <row r="15" spans="1:20" ht="12.75">
      <c r="A15" s="9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58"/>
      <c r="R15" s="58">
        <f>COUNT(R7:R14)</f>
        <v>8</v>
      </c>
      <c r="S15" s="58">
        <f>COUNT(S7:S14)</f>
        <v>0</v>
      </c>
      <c r="T15" s="58">
        <f>COUNT(T7:T14)</f>
        <v>0</v>
      </c>
    </row>
    <row r="16" spans="2:1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8" spans="12:15" ht="12.75">
      <c r="L18" s="109"/>
      <c r="M18" s="109"/>
      <c r="N18" s="109"/>
      <c r="O18" s="109"/>
    </row>
    <row r="19" spans="12:15" ht="12.75">
      <c r="L19" s="109"/>
      <c r="M19" s="109"/>
      <c r="N19" s="109"/>
      <c r="O19" s="109"/>
    </row>
    <row r="20" spans="12:15" ht="12.75">
      <c r="L20" s="108"/>
      <c r="M20" s="108"/>
      <c r="N20" s="108"/>
      <c r="O20" s="108"/>
    </row>
    <row r="25" ht="12.75">
      <c r="I25" s="43"/>
    </row>
  </sheetData>
  <sheetProtection password="CC66" sheet="1" objects="1" scenarios="1"/>
  <mergeCells count="8">
    <mergeCell ref="L18:O18"/>
    <mergeCell ref="L19:O19"/>
    <mergeCell ref="L20:O20"/>
    <mergeCell ref="B2:B3"/>
    <mergeCell ref="C2:L3"/>
    <mergeCell ref="M2:P3"/>
    <mergeCell ref="K5:K6"/>
    <mergeCell ref="N5:N6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T26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2.7109375" style="1" customWidth="1"/>
    <col min="17" max="17" width="12.140625" style="93" hidden="1" customWidth="1"/>
    <col min="18" max="18" width="12.00390625" style="93" hidden="1" customWidth="1"/>
    <col min="19" max="19" width="10.8515625" style="93" hidden="1" customWidth="1"/>
    <col min="20" max="20" width="11.7109375" style="93" hidden="1" customWidth="1"/>
    <col min="21" max="21" width="23.00390625" style="1" bestFit="1" customWidth="1"/>
    <col min="22" max="16384" width="11.421875" style="1" customWidth="1"/>
  </cols>
  <sheetData>
    <row r="2" spans="2:16" ht="12.75">
      <c r="B2" s="129" t="s">
        <v>46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29">
        <v>3</v>
      </c>
      <c r="N2" s="112"/>
      <c r="O2" s="112"/>
      <c r="P2" s="113"/>
    </row>
    <row r="3" spans="2:16" ht="12.75">
      <c r="B3" s="130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30"/>
      <c r="N3" s="114"/>
      <c r="O3" s="114"/>
      <c r="P3" s="115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31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94" t="s">
        <v>129</v>
      </c>
      <c r="R5" s="94" t="s">
        <v>131</v>
      </c>
      <c r="S5" s="94" t="s">
        <v>126</v>
      </c>
      <c r="T5" s="95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96" t="s">
        <v>130</v>
      </c>
      <c r="R6" s="96" t="s">
        <v>132</v>
      </c>
      <c r="S6" s="96" t="s">
        <v>127</v>
      </c>
      <c r="T6" s="51" t="s">
        <v>127</v>
      </c>
    </row>
    <row r="7" spans="2:20" ht="21" customHeight="1">
      <c r="B7" s="3"/>
      <c r="C7" s="19">
        <v>301</v>
      </c>
      <c r="D7" s="20" t="s">
        <v>32</v>
      </c>
      <c r="E7" s="20"/>
      <c r="F7" s="20"/>
      <c r="G7" s="20"/>
      <c r="H7" s="20"/>
      <c r="I7" s="20"/>
      <c r="J7" s="20"/>
      <c r="K7" s="40"/>
      <c r="L7" s="40"/>
      <c r="M7" s="40"/>
      <c r="N7" s="40"/>
      <c r="O7" s="40"/>
      <c r="P7" s="5"/>
      <c r="Q7" s="49">
        <v>5</v>
      </c>
      <c r="R7" s="49">
        <f>IF(Q7=5,1," ")</f>
        <v>1</v>
      </c>
      <c r="S7" s="56" t="str">
        <f>IF($Q7=4,1,IF($Q7=3,1," "))</f>
        <v> </v>
      </c>
      <c r="T7" s="51"/>
    </row>
    <row r="8" spans="2:20" ht="21" customHeight="1">
      <c r="B8" s="3"/>
      <c r="C8" s="19">
        <v>302</v>
      </c>
      <c r="D8" s="20" t="s">
        <v>33</v>
      </c>
      <c r="E8" s="20"/>
      <c r="F8" s="20"/>
      <c r="G8" s="20"/>
      <c r="H8" s="20"/>
      <c r="I8" s="20"/>
      <c r="J8" s="20"/>
      <c r="K8" s="40"/>
      <c r="L8" s="40"/>
      <c r="M8" s="40"/>
      <c r="N8" s="40"/>
      <c r="O8" s="40"/>
      <c r="P8" s="5"/>
      <c r="Q8" s="49">
        <v>5</v>
      </c>
      <c r="R8" s="49">
        <f aca="true" t="shared" si="0" ref="R8:S20">IF(Q8=5,1," ")</f>
        <v>1</v>
      </c>
      <c r="S8" s="56" t="str">
        <f>IF($Q8=4,1,IF($Q8=3,1," "))</f>
        <v> </v>
      </c>
      <c r="T8" s="49"/>
    </row>
    <row r="9" spans="2:20" ht="21" customHeight="1">
      <c r="B9" s="3"/>
      <c r="C9" s="19">
        <v>303</v>
      </c>
      <c r="D9" s="20" t="s">
        <v>34</v>
      </c>
      <c r="E9" s="20"/>
      <c r="F9" s="20"/>
      <c r="G9" s="20"/>
      <c r="H9" s="20"/>
      <c r="I9" s="20"/>
      <c r="J9" s="20"/>
      <c r="K9" s="40"/>
      <c r="L9" s="40"/>
      <c r="M9" s="40"/>
      <c r="N9" s="40"/>
      <c r="O9" s="40"/>
      <c r="P9" s="5"/>
      <c r="Q9" s="49">
        <v>5</v>
      </c>
      <c r="R9" s="49">
        <f t="shared" si="0"/>
        <v>1</v>
      </c>
      <c r="S9" s="49" t="str">
        <f t="shared" si="0"/>
        <v> </v>
      </c>
      <c r="T9" s="57" t="str">
        <f>IF($Q9=4,1,IF($Q9=3,1," "))</f>
        <v> </v>
      </c>
    </row>
    <row r="10" spans="2:20" ht="21" customHeight="1">
      <c r="B10" s="3"/>
      <c r="C10" s="19">
        <v>304</v>
      </c>
      <c r="D10" s="20" t="s">
        <v>35</v>
      </c>
      <c r="E10" s="20"/>
      <c r="F10" s="20"/>
      <c r="G10" s="20"/>
      <c r="H10" s="20"/>
      <c r="I10" s="20"/>
      <c r="J10" s="20"/>
      <c r="K10" s="40"/>
      <c r="L10" s="40"/>
      <c r="M10" s="40"/>
      <c r="N10" s="40"/>
      <c r="O10" s="40"/>
      <c r="P10" s="5"/>
      <c r="Q10" s="49">
        <v>5</v>
      </c>
      <c r="R10" s="49">
        <f t="shared" si="0"/>
        <v>1</v>
      </c>
      <c r="S10" s="49" t="str">
        <f t="shared" si="0"/>
        <v> </v>
      </c>
      <c r="T10" s="49"/>
    </row>
    <row r="11" spans="2:20" ht="21" customHeight="1">
      <c r="B11" s="3"/>
      <c r="C11" s="19">
        <v>305</v>
      </c>
      <c r="D11" s="20" t="s">
        <v>36</v>
      </c>
      <c r="E11" s="20"/>
      <c r="F11" s="20"/>
      <c r="G11" s="20"/>
      <c r="H11" s="20"/>
      <c r="I11" s="20"/>
      <c r="J11" s="20"/>
      <c r="K11" s="40"/>
      <c r="L11" s="40"/>
      <c r="M11" s="40"/>
      <c r="N11" s="40"/>
      <c r="O11" s="40"/>
      <c r="P11" s="5"/>
      <c r="Q11" s="49">
        <v>5</v>
      </c>
      <c r="R11" s="49">
        <f t="shared" si="0"/>
        <v>1</v>
      </c>
      <c r="S11" s="49" t="str">
        <f t="shared" si="0"/>
        <v> </v>
      </c>
      <c r="T11" s="57" t="str">
        <f>IF($Q11=4,1,IF($Q11=3,1," "))</f>
        <v> </v>
      </c>
    </row>
    <row r="12" spans="2:20" ht="21" customHeight="1">
      <c r="B12" s="3"/>
      <c r="C12" s="19">
        <v>306</v>
      </c>
      <c r="D12" s="20" t="s">
        <v>37</v>
      </c>
      <c r="E12" s="20"/>
      <c r="F12" s="20"/>
      <c r="G12" s="20"/>
      <c r="H12" s="20"/>
      <c r="I12" s="20"/>
      <c r="J12" s="20"/>
      <c r="K12" s="40"/>
      <c r="L12" s="40"/>
      <c r="M12" s="40"/>
      <c r="N12" s="40"/>
      <c r="O12" s="40"/>
      <c r="P12" s="5"/>
      <c r="Q12" s="49">
        <v>5</v>
      </c>
      <c r="R12" s="49">
        <f t="shared" si="0"/>
        <v>1</v>
      </c>
      <c r="S12" s="56" t="str">
        <f>IF($Q12=4,1,IF($Q12=3,1," "))</f>
        <v> </v>
      </c>
      <c r="T12" s="49"/>
    </row>
    <row r="13" spans="2:20" ht="21" customHeight="1">
      <c r="B13" s="3"/>
      <c r="C13" s="19">
        <v>307</v>
      </c>
      <c r="D13" s="20" t="s">
        <v>38</v>
      </c>
      <c r="E13" s="20"/>
      <c r="F13" s="20"/>
      <c r="G13" s="20"/>
      <c r="H13" s="20"/>
      <c r="I13" s="20"/>
      <c r="J13" s="20"/>
      <c r="K13" s="40"/>
      <c r="L13" s="40"/>
      <c r="M13" s="40"/>
      <c r="N13" s="40"/>
      <c r="O13" s="40"/>
      <c r="P13" s="5"/>
      <c r="Q13" s="49">
        <v>5</v>
      </c>
      <c r="R13" s="49">
        <f t="shared" si="0"/>
        <v>1</v>
      </c>
      <c r="S13" s="49" t="str">
        <f t="shared" si="0"/>
        <v> </v>
      </c>
      <c r="T13" s="57" t="str">
        <f>IF($Q13=4,1,IF($Q13=3,1," "))</f>
        <v> </v>
      </c>
    </row>
    <row r="14" spans="2:20" ht="21" customHeight="1">
      <c r="B14" s="3"/>
      <c r="C14" s="19">
        <v>308</v>
      </c>
      <c r="D14" s="20" t="s">
        <v>39</v>
      </c>
      <c r="E14" s="20"/>
      <c r="F14" s="20"/>
      <c r="G14" s="20"/>
      <c r="H14" s="20"/>
      <c r="I14" s="20"/>
      <c r="J14" s="20"/>
      <c r="K14" s="40"/>
      <c r="L14" s="40"/>
      <c r="M14" s="40"/>
      <c r="N14" s="40"/>
      <c r="O14" s="40"/>
      <c r="P14" s="5"/>
      <c r="Q14" s="49">
        <v>5</v>
      </c>
      <c r="R14" s="49">
        <f t="shared" si="0"/>
        <v>1</v>
      </c>
      <c r="S14" s="49" t="str">
        <f t="shared" si="0"/>
        <v> </v>
      </c>
      <c r="T14" s="57" t="str">
        <f>IF($Q14=4,1,IF($Q14=3,1," "))</f>
        <v> </v>
      </c>
    </row>
    <row r="15" spans="2:20" ht="21" customHeight="1">
      <c r="B15" s="3"/>
      <c r="C15" s="19">
        <v>309</v>
      </c>
      <c r="D15" s="20" t="s">
        <v>40</v>
      </c>
      <c r="E15" s="20"/>
      <c r="F15" s="20"/>
      <c r="G15" s="20"/>
      <c r="H15" s="20"/>
      <c r="I15" s="20"/>
      <c r="J15" s="20"/>
      <c r="K15" s="40"/>
      <c r="L15" s="40"/>
      <c r="M15" s="40"/>
      <c r="N15" s="40"/>
      <c r="O15" s="40"/>
      <c r="P15" s="5"/>
      <c r="Q15" s="49">
        <v>5</v>
      </c>
      <c r="R15" s="97">
        <f t="shared" si="0"/>
        <v>1</v>
      </c>
      <c r="S15" s="58" t="str">
        <f t="shared" si="0"/>
        <v> </v>
      </c>
      <c r="T15" s="58"/>
    </row>
    <row r="16" spans="2:20" ht="21" customHeight="1">
      <c r="B16" s="3"/>
      <c r="C16" s="19">
        <v>310</v>
      </c>
      <c r="D16" s="20" t="s">
        <v>41</v>
      </c>
      <c r="E16" s="20"/>
      <c r="F16" s="20"/>
      <c r="G16" s="20"/>
      <c r="H16" s="20"/>
      <c r="I16" s="20"/>
      <c r="J16" s="20"/>
      <c r="K16" s="40"/>
      <c r="L16" s="40"/>
      <c r="M16" s="40"/>
      <c r="N16" s="40"/>
      <c r="O16" s="40"/>
      <c r="P16" s="5"/>
      <c r="Q16" s="49">
        <v>5</v>
      </c>
      <c r="R16" s="49">
        <f t="shared" si="0"/>
        <v>1</v>
      </c>
      <c r="S16" s="49" t="str">
        <f t="shared" si="0"/>
        <v> </v>
      </c>
      <c r="T16" s="49"/>
    </row>
    <row r="17" spans="2:20" ht="21" customHeight="1">
      <c r="B17" s="3"/>
      <c r="C17" s="19">
        <v>311</v>
      </c>
      <c r="D17" s="20" t="s">
        <v>42</v>
      </c>
      <c r="E17" s="20"/>
      <c r="F17" s="20"/>
      <c r="G17" s="20"/>
      <c r="H17" s="20"/>
      <c r="I17" s="20"/>
      <c r="J17" s="20"/>
      <c r="K17" s="40"/>
      <c r="L17" s="40"/>
      <c r="M17" s="40"/>
      <c r="N17" s="40"/>
      <c r="O17" s="40"/>
      <c r="P17" s="5"/>
      <c r="Q17" s="49">
        <v>5</v>
      </c>
      <c r="R17" s="49">
        <f t="shared" si="0"/>
        <v>1</v>
      </c>
      <c r="S17" s="49" t="str">
        <f t="shared" si="0"/>
        <v> </v>
      </c>
      <c r="T17" s="49"/>
    </row>
    <row r="18" spans="2:20" ht="21" customHeight="1">
      <c r="B18" s="3"/>
      <c r="C18" s="19">
        <v>312</v>
      </c>
      <c r="D18" s="20" t="s">
        <v>43</v>
      </c>
      <c r="E18" s="20"/>
      <c r="F18" s="20"/>
      <c r="G18" s="20"/>
      <c r="H18" s="20"/>
      <c r="I18" s="20"/>
      <c r="J18" s="20"/>
      <c r="K18" s="40"/>
      <c r="L18" s="40"/>
      <c r="M18" s="40"/>
      <c r="N18" s="40"/>
      <c r="O18" s="40"/>
      <c r="P18" s="5"/>
      <c r="Q18" s="49">
        <v>5</v>
      </c>
      <c r="R18" s="49">
        <f t="shared" si="0"/>
        <v>1</v>
      </c>
      <c r="S18" s="49" t="str">
        <f t="shared" si="0"/>
        <v> </v>
      </c>
      <c r="T18" s="57" t="str">
        <f>IF($Q18=4,1,IF($Q18=3,1," "))</f>
        <v> </v>
      </c>
    </row>
    <row r="19" spans="2:20" ht="21" customHeight="1">
      <c r="B19" s="3"/>
      <c r="C19" s="19">
        <v>313</v>
      </c>
      <c r="D19" s="20" t="s">
        <v>44</v>
      </c>
      <c r="E19" s="20"/>
      <c r="F19" s="20"/>
      <c r="G19" s="20"/>
      <c r="H19" s="20"/>
      <c r="I19" s="20"/>
      <c r="J19" s="20"/>
      <c r="K19" s="40"/>
      <c r="L19" s="40"/>
      <c r="M19" s="40"/>
      <c r="N19" s="40"/>
      <c r="O19" s="40"/>
      <c r="P19" s="5"/>
      <c r="Q19" s="49">
        <v>5</v>
      </c>
      <c r="R19" s="49">
        <f t="shared" si="0"/>
        <v>1</v>
      </c>
      <c r="S19" s="49" t="str">
        <f t="shared" si="0"/>
        <v> </v>
      </c>
      <c r="T19" s="57" t="str">
        <f>IF($Q19=4,1,IF($Q19=3,1," "))</f>
        <v> </v>
      </c>
    </row>
    <row r="20" spans="2:20" ht="21" customHeight="1">
      <c r="B20" s="3"/>
      <c r="C20" s="19">
        <v>314</v>
      </c>
      <c r="D20" s="20" t="s">
        <v>45</v>
      </c>
      <c r="E20" s="20"/>
      <c r="F20" s="20"/>
      <c r="G20" s="20"/>
      <c r="H20" s="20"/>
      <c r="I20" s="20"/>
      <c r="J20" s="20"/>
      <c r="K20" s="40"/>
      <c r="L20" s="40"/>
      <c r="M20" s="40"/>
      <c r="N20" s="40"/>
      <c r="O20" s="40"/>
      <c r="P20" s="5"/>
      <c r="Q20" s="49">
        <v>5</v>
      </c>
      <c r="R20" s="49">
        <f t="shared" si="0"/>
        <v>1</v>
      </c>
      <c r="S20" s="49" t="str">
        <f t="shared" si="0"/>
        <v> </v>
      </c>
      <c r="T20" s="57" t="str">
        <f>IF($Q20=4,1,IF($Q20=3,1," "))</f>
        <v> </v>
      </c>
    </row>
    <row r="21" spans="2:20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58"/>
      <c r="R21" s="58">
        <f>COUNT(R7:R20)</f>
        <v>14</v>
      </c>
      <c r="S21" s="58">
        <f>COUNT(S7:S20)</f>
        <v>0</v>
      </c>
      <c r="T21" s="58">
        <f>COUNT(T7:T20)</f>
        <v>0</v>
      </c>
    </row>
    <row r="24" spans="12:15" ht="12.75">
      <c r="L24" s="109"/>
      <c r="M24" s="109"/>
      <c r="N24" s="109"/>
      <c r="O24" s="109"/>
    </row>
    <row r="25" spans="12:15" ht="12.75">
      <c r="L25" s="109"/>
      <c r="M25" s="109"/>
      <c r="N25" s="109"/>
      <c r="O25" s="109"/>
    </row>
    <row r="26" spans="12:15" ht="12.75">
      <c r="L26" s="108"/>
      <c r="M26" s="108"/>
      <c r="N26" s="108"/>
      <c r="O26" s="108"/>
    </row>
  </sheetData>
  <sheetProtection password="CC66" sheet="1" objects="1" scenarios="1"/>
  <mergeCells count="7">
    <mergeCell ref="L24:O24"/>
    <mergeCell ref="L25:O25"/>
    <mergeCell ref="L26:O26"/>
    <mergeCell ref="B2:L3"/>
    <mergeCell ref="M2:P3"/>
    <mergeCell ref="K5:K6"/>
    <mergeCell ref="N5:N6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2:T24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2.7109375" style="1" customWidth="1"/>
    <col min="17" max="18" width="10.7109375" style="1" hidden="1" customWidth="1"/>
    <col min="19" max="19" width="10.421875" style="1" hidden="1" customWidth="1"/>
    <col min="20" max="20" width="10.7109375" style="1" hidden="1" customWidth="1"/>
    <col min="21" max="16384" width="11.421875" style="1" customWidth="1"/>
  </cols>
  <sheetData>
    <row r="2" spans="2:16" ht="12.75">
      <c r="B2" s="129" t="s">
        <v>60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29">
        <v>4</v>
      </c>
      <c r="N2" s="112"/>
      <c r="O2" s="112"/>
      <c r="P2" s="113"/>
    </row>
    <row r="3" spans="2:16" ht="12.75">
      <c r="B3" s="130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30"/>
      <c r="N3" s="114"/>
      <c r="O3" s="114"/>
      <c r="P3" s="115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47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401</v>
      </c>
      <c r="D7" s="20" t="s">
        <v>48</v>
      </c>
      <c r="E7" s="20"/>
      <c r="F7" s="20"/>
      <c r="G7" s="20"/>
      <c r="H7" s="20"/>
      <c r="I7" s="20"/>
      <c r="J7" s="20"/>
      <c r="K7" s="40"/>
      <c r="L7" s="40"/>
      <c r="M7" s="40"/>
      <c r="N7" s="42"/>
      <c r="O7" s="40"/>
      <c r="P7" s="5"/>
      <c r="Q7" s="49">
        <v>5</v>
      </c>
      <c r="R7" s="49">
        <f aca="true" t="shared" si="0" ref="R7:R18">IF(Q7=5,1," ")</f>
        <v>1</v>
      </c>
      <c r="S7" s="56" t="str">
        <f>IF($Q7=4,1,IF($Q7=3,1," "))</f>
        <v> </v>
      </c>
      <c r="T7" s="51"/>
    </row>
    <row r="8" spans="2:20" ht="21" customHeight="1">
      <c r="B8" s="3"/>
      <c r="C8" s="19">
        <v>402</v>
      </c>
      <c r="D8" s="20" t="s">
        <v>49</v>
      </c>
      <c r="E8" s="20"/>
      <c r="F8" s="20"/>
      <c r="G8" s="20"/>
      <c r="H8" s="20"/>
      <c r="I8" s="20"/>
      <c r="J8" s="20"/>
      <c r="K8" s="40"/>
      <c r="L8" s="40"/>
      <c r="M8" s="40"/>
      <c r="N8" s="42"/>
      <c r="O8" s="40"/>
      <c r="P8" s="5"/>
      <c r="Q8" s="49">
        <v>5</v>
      </c>
      <c r="R8" s="49">
        <f t="shared" si="0"/>
        <v>1</v>
      </c>
      <c r="S8" s="56" t="str">
        <f>IF($Q8=4,1,IF($Q8=3,1," "))</f>
        <v> </v>
      </c>
      <c r="T8" s="49"/>
    </row>
    <row r="9" spans="2:20" ht="21" customHeight="1">
      <c r="B9" s="3"/>
      <c r="C9" s="19">
        <v>403</v>
      </c>
      <c r="D9" s="20" t="s">
        <v>50</v>
      </c>
      <c r="E9" s="20"/>
      <c r="F9" s="20"/>
      <c r="G9" s="20"/>
      <c r="H9" s="20"/>
      <c r="I9" s="20"/>
      <c r="J9" s="20"/>
      <c r="K9" s="40"/>
      <c r="L9" s="40"/>
      <c r="M9" s="40"/>
      <c r="N9" s="42"/>
      <c r="O9" s="40"/>
      <c r="P9" s="5"/>
      <c r="Q9" s="49">
        <v>5</v>
      </c>
      <c r="R9" s="49">
        <f t="shared" si="0"/>
        <v>1</v>
      </c>
      <c r="S9" s="49"/>
      <c r="T9" s="57" t="str">
        <f>IF($Q9=4,1,IF($Q9=3,1," "))</f>
        <v> </v>
      </c>
    </row>
    <row r="10" spans="2:20" ht="21" customHeight="1">
      <c r="B10" s="3"/>
      <c r="C10" s="19">
        <v>404</v>
      </c>
      <c r="D10" s="20" t="s">
        <v>51</v>
      </c>
      <c r="E10" s="20"/>
      <c r="F10" s="20"/>
      <c r="G10" s="20"/>
      <c r="H10" s="20"/>
      <c r="I10" s="20"/>
      <c r="J10" s="20"/>
      <c r="K10" s="40"/>
      <c r="L10" s="40"/>
      <c r="M10" s="40"/>
      <c r="N10" s="42"/>
      <c r="O10" s="40"/>
      <c r="P10" s="5"/>
      <c r="Q10" s="49">
        <v>5</v>
      </c>
      <c r="R10" s="49">
        <f t="shared" si="0"/>
        <v>1</v>
      </c>
      <c r="S10" s="49"/>
      <c r="T10" s="57" t="str">
        <f>IF($Q10=4,1,IF($Q10=3,1," "))</f>
        <v> </v>
      </c>
    </row>
    <row r="11" spans="2:20" ht="21" customHeight="1">
      <c r="B11" s="3"/>
      <c r="C11" s="19">
        <v>405</v>
      </c>
      <c r="D11" s="20" t="s">
        <v>52</v>
      </c>
      <c r="E11" s="20"/>
      <c r="F11" s="20"/>
      <c r="G11" s="20"/>
      <c r="H11" s="20"/>
      <c r="I11" s="20"/>
      <c r="J11" s="20"/>
      <c r="K11" s="40"/>
      <c r="L11" s="40"/>
      <c r="M11" s="40"/>
      <c r="N11" s="42"/>
      <c r="O11" s="40"/>
      <c r="P11" s="5"/>
      <c r="Q11" s="49">
        <v>5</v>
      </c>
      <c r="R11" s="49">
        <f t="shared" si="0"/>
        <v>1</v>
      </c>
      <c r="S11" s="49"/>
      <c r="T11" s="51"/>
    </row>
    <row r="12" spans="2:20" ht="21" customHeight="1">
      <c r="B12" s="3"/>
      <c r="C12" s="19">
        <v>406</v>
      </c>
      <c r="D12" s="20" t="s">
        <v>53</v>
      </c>
      <c r="E12" s="20"/>
      <c r="F12" s="20"/>
      <c r="G12" s="20"/>
      <c r="H12" s="20"/>
      <c r="I12" s="20"/>
      <c r="J12" s="20"/>
      <c r="K12" s="40"/>
      <c r="L12" s="40"/>
      <c r="M12" s="40"/>
      <c r="N12" s="42"/>
      <c r="O12" s="40"/>
      <c r="P12" s="5"/>
      <c r="Q12" s="49">
        <v>5</v>
      </c>
      <c r="R12" s="49">
        <f t="shared" si="0"/>
        <v>1</v>
      </c>
      <c r="S12" s="51"/>
      <c r="T12" s="57" t="str">
        <f>IF($Q12=4,1,IF($Q12=3,1," "))</f>
        <v> </v>
      </c>
    </row>
    <row r="13" spans="2:20" ht="21" customHeight="1">
      <c r="B13" s="3"/>
      <c r="C13" s="19">
        <v>407</v>
      </c>
      <c r="D13" s="20" t="s">
        <v>54</v>
      </c>
      <c r="E13" s="20"/>
      <c r="F13" s="20"/>
      <c r="G13" s="20"/>
      <c r="H13" s="20"/>
      <c r="I13" s="20"/>
      <c r="J13" s="20"/>
      <c r="K13" s="40"/>
      <c r="L13" s="40"/>
      <c r="M13" s="40"/>
      <c r="N13" s="42"/>
      <c r="O13" s="40"/>
      <c r="P13" s="5"/>
      <c r="Q13" s="49">
        <v>5</v>
      </c>
      <c r="R13" s="49">
        <f t="shared" si="0"/>
        <v>1</v>
      </c>
      <c r="S13" s="49"/>
      <c r="T13" s="51"/>
    </row>
    <row r="14" spans="2:20" ht="21" customHeight="1">
      <c r="B14" s="3"/>
      <c r="C14" s="19">
        <v>408</v>
      </c>
      <c r="D14" s="20" t="s">
        <v>55</v>
      </c>
      <c r="E14" s="20"/>
      <c r="F14" s="20"/>
      <c r="G14" s="20"/>
      <c r="H14" s="20"/>
      <c r="I14" s="20"/>
      <c r="J14" s="20"/>
      <c r="K14" s="40"/>
      <c r="L14" s="40"/>
      <c r="M14" s="40"/>
      <c r="N14" s="42"/>
      <c r="O14" s="40"/>
      <c r="P14" s="5"/>
      <c r="Q14" s="49">
        <v>5</v>
      </c>
      <c r="R14" s="49">
        <f t="shared" si="0"/>
        <v>1</v>
      </c>
      <c r="S14" s="49"/>
      <c r="T14" s="51"/>
    </row>
    <row r="15" spans="2:20" ht="21" customHeight="1">
      <c r="B15" s="3"/>
      <c r="C15" s="19">
        <v>409</v>
      </c>
      <c r="D15" s="20" t="s">
        <v>56</v>
      </c>
      <c r="E15" s="20"/>
      <c r="F15" s="20"/>
      <c r="G15" s="20"/>
      <c r="H15" s="20"/>
      <c r="I15" s="20"/>
      <c r="J15" s="20"/>
      <c r="K15" s="40"/>
      <c r="L15" s="40"/>
      <c r="M15" s="40"/>
      <c r="N15" s="42"/>
      <c r="O15" s="40"/>
      <c r="P15" s="5"/>
      <c r="Q15" s="49">
        <v>5</v>
      </c>
      <c r="R15" s="49">
        <f t="shared" si="0"/>
        <v>1</v>
      </c>
      <c r="S15" s="58"/>
      <c r="T15" s="58"/>
    </row>
    <row r="16" spans="2:20" ht="21" customHeight="1">
      <c r="B16" s="3"/>
      <c r="C16" s="19">
        <v>410</v>
      </c>
      <c r="D16" s="20" t="s">
        <v>57</v>
      </c>
      <c r="E16" s="20"/>
      <c r="F16" s="20"/>
      <c r="G16" s="20"/>
      <c r="H16" s="20"/>
      <c r="I16" s="20"/>
      <c r="J16" s="20"/>
      <c r="K16" s="40"/>
      <c r="L16" s="40"/>
      <c r="M16" s="40"/>
      <c r="N16" s="42"/>
      <c r="O16" s="40"/>
      <c r="P16" s="5"/>
      <c r="Q16" s="49">
        <v>5</v>
      </c>
      <c r="R16" s="49">
        <f t="shared" si="0"/>
        <v>1</v>
      </c>
      <c r="S16" s="49"/>
      <c r="T16" s="57" t="str">
        <f>IF($Q16=4,1,IF($Q16=3,1," "))</f>
        <v> </v>
      </c>
    </row>
    <row r="17" spans="2:20" ht="21" customHeight="1">
      <c r="B17" s="3"/>
      <c r="C17" s="19">
        <v>411</v>
      </c>
      <c r="D17" s="20" t="s">
        <v>58</v>
      </c>
      <c r="E17" s="20"/>
      <c r="F17" s="20"/>
      <c r="G17" s="20"/>
      <c r="H17" s="20"/>
      <c r="I17" s="20"/>
      <c r="J17" s="20"/>
      <c r="K17" s="40"/>
      <c r="L17" s="40"/>
      <c r="M17" s="40"/>
      <c r="N17" s="42"/>
      <c r="O17" s="40"/>
      <c r="P17" s="5"/>
      <c r="Q17" s="49">
        <v>5</v>
      </c>
      <c r="R17" s="49">
        <f t="shared" si="0"/>
        <v>1</v>
      </c>
      <c r="S17" s="49"/>
      <c r="T17" s="57" t="str">
        <f>IF($Q17=4,1,IF($Q17=3,1," "))</f>
        <v> </v>
      </c>
    </row>
    <row r="18" spans="2:20" ht="21" customHeight="1">
      <c r="B18" s="3"/>
      <c r="C18" s="19">
        <v>412</v>
      </c>
      <c r="D18" s="20" t="s">
        <v>59</v>
      </c>
      <c r="E18" s="20"/>
      <c r="F18" s="20"/>
      <c r="G18" s="20"/>
      <c r="H18" s="20"/>
      <c r="I18" s="20"/>
      <c r="J18" s="20"/>
      <c r="K18" s="40"/>
      <c r="L18" s="40"/>
      <c r="M18" s="40"/>
      <c r="N18" s="42"/>
      <c r="O18" s="40"/>
      <c r="P18" s="5"/>
      <c r="Q18" s="49">
        <v>5</v>
      </c>
      <c r="R18" s="49">
        <f t="shared" si="0"/>
        <v>1</v>
      </c>
      <c r="S18" s="49"/>
      <c r="T18" s="57" t="str">
        <f>IF($Q18=4,1,IF($Q18=3,1," "))</f>
        <v> </v>
      </c>
    </row>
    <row r="19" spans="2:20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13"/>
      <c r="R19" s="58">
        <f>COUNT(R7:R18)</f>
        <v>12</v>
      </c>
      <c r="S19" s="58">
        <f>COUNT(S7:S18)</f>
        <v>0</v>
      </c>
      <c r="T19" s="58">
        <f>COUNT(T7:T18)</f>
        <v>0</v>
      </c>
    </row>
    <row r="22" spans="12:17" ht="12.75">
      <c r="L22" s="109"/>
      <c r="M22" s="109"/>
      <c r="N22" s="109"/>
      <c r="O22" s="109"/>
      <c r="P22" s="18"/>
      <c r="Q22" s="36"/>
    </row>
    <row r="23" spans="13:17" ht="12.75">
      <c r="M23" s="18"/>
      <c r="N23" s="18"/>
      <c r="O23" s="18"/>
      <c r="P23" s="18"/>
      <c r="Q23" s="36"/>
    </row>
    <row r="24" spans="13:17" ht="12.75">
      <c r="M24" s="17"/>
      <c r="N24" s="17"/>
      <c r="O24" s="17"/>
      <c r="P24" s="17"/>
      <c r="Q24" s="36"/>
    </row>
  </sheetData>
  <sheetProtection password="CC66" sheet="1" objects="1" scenarios="1"/>
  <mergeCells count="5">
    <mergeCell ref="L22:O22"/>
    <mergeCell ref="B2:L3"/>
    <mergeCell ref="M2:P3"/>
    <mergeCell ref="K5:K6"/>
    <mergeCell ref="N5:N6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2:T25"/>
  <sheetViews>
    <sheetView zoomScalePageLayoutView="0" workbookViewId="0" topLeftCell="A1">
      <selection activeCell="Q1" sqref="Q1:T16384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3.28125" style="1" customWidth="1"/>
    <col min="17" max="17" width="15.8515625" style="1" hidden="1" customWidth="1"/>
    <col min="18" max="18" width="11.8515625" style="1" hidden="1" customWidth="1"/>
    <col min="19" max="19" width="20.28125" style="1" hidden="1" customWidth="1"/>
    <col min="20" max="20" width="22.28125" style="1" hidden="1" customWidth="1"/>
    <col min="21" max="21" width="23.00390625" style="1" bestFit="1" customWidth="1"/>
    <col min="22" max="16384" width="11.421875" style="1" customWidth="1"/>
  </cols>
  <sheetData>
    <row r="2" spans="2:16" ht="12.75">
      <c r="B2" s="129" t="s">
        <v>73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29">
        <v>5</v>
      </c>
      <c r="N2" s="112"/>
      <c r="O2" s="112"/>
      <c r="P2" s="113"/>
    </row>
    <row r="3" spans="2:16" ht="12.75">
      <c r="B3" s="130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30"/>
      <c r="N3" s="114"/>
      <c r="O3" s="114"/>
      <c r="P3" s="115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133" t="s">
        <v>74</v>
      </c>
      <c r="E5" s="134"/>
      <c r="F5" s="134"/>
      <c r="G5" s="134"/>
      <c r="H5" s="134"/>
      <c r="I5" s="134"/>
      <c r="J5" s="135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136"/>
      <c r="E6" s="137"/>
      <c r="F6" s="137"/>
      <c r="G6" s="137"/>
      <c r="H6" s="137"/>
      <c r="I6" s="137"/>
      <c r="J6" s="138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501</v>
      </c>
      <c r="D7" s="20" t="s">
        <v>61</v>
      </c>
      <c r="E7" s="20"/>
      <c r="F7" s="20"/>
      <c r="G7" s="20"/>
      <c r="H7" s="20"/>
      <c r="I7" s="20"/>
      <c r="J7" s="20"/>
      <c r="K7" s="40"/>
      <c r="L7" s="40"/>
      <c r="M7" s="40"/>
      <c r="N7" s="40"/>
      <c r="O7" s="40"/>
      <c r="P7" s="5"/>
      <c r="Q7" s="49">
        <v>5</v>
      </c>
      <c r="R7" s="49">
        <f>IF(Q7=5,1," ")</f>
        <v>1</v>
      </c>
      <c r="S7" s="56" t="str">
        <f>IF($Q7=4,1,IF($Q7=3,1," "))</f>
        <v> </v>
      </c>
      <c r="T7" s="51"/>
    </row>
    <row r="8" spans="2:20" ht="21" customHeight="1">
      <c r="B8" s="3"/>
      <c r="C8" s="19">
        <v>502</v>
      </c>
      <c r="D8" s="20" t="s">
        <v>62</v>
      </c>
      <c r="E8" s="20"/>
      <c r="F8" s="20"/>
      <c r="G8" s="20"/>
      <c r="H8" s="20"/>
      <c r="I8" s="20"/>
      <c r="J8" s="20"/>
      <c r="K8" s="40"/>
      <c r="L8" s="40"/>
      <c r="M8" s="40"/>
      <c r="N8" s="40"/>
      <c r="O8" s="40"/>
      <c r="P8" s="5"/>
      <c r="Q8" s="49">
        <v>5</v>
      </c>
      <c r="R8" s="49">
        <f aca="true" t="shared" si="0" ref="R8:R19">IF(Q8=5,1," ")</f>
        <v>1</v>
      </c>
      <c r="S8" s="56" t="str">
        <f>IF($Q8=4,1,IF($Q8=3,1," "))</f>
        <v> </v>
      </c>
      <c r="T8" s="51"/>
    </row>
    <row r="9" spans="2:20" ht="21" customHeight="1">
      <c r="B9" s="3"/>
      <c r="C9" s="19">
        <v>503</v>
      </c>
      <c r="D9" s="20" t="s">
        <v>63</v>
      </c>
      <c r="E9" s="20"/>
      <c r="F9" s="20"/>
      <c r="G9" s="20"/>
      <c r="H9" s="20"/>
      <c r="I9" s="20"/>
      <c r="J9" s="20"/>
      <c r="K9" s="40"/>
      <c r="L9" s="40"/>
      <c r="M9" s="40"/>
      <c r="N9" s="40"/>
      <c r="O9" s="40"/>
      <c r="P9" s="5"/>
      <c r="Q9" s="49">
        <v>5</v>
      </c>
      <c r="R9" s="49">
        <f t="shared" si="0"/>
        <v>1</v>
      </c>
      <c r="S9" s="49"/>
      <c r="T9" s="49"/>
    </row>
    <row r="10" spans="2:20" ht="21" customHeight="1">
      <c r="B10" s="3"/>
      <c r="C10" s="19">
        <v>504</v>
      </c>
      <c r="D10" s="20" t="s">
        <v>64</v>
      </c>
      <c r="E10" s="20"/>
      <c r="F10" s="20"/>
      <c r="G10" s="20"/>
      <c r="H10" s="20"/>
      <c r="I10" s="20"/>
      <c r="J10" s="20"/>
      <c r="K10" s="40"/>
      <c r="L10" s="40"/>
      <c r="M10" s="40"/>
      <c r="N10" s="40"/>
      <c r="O10" s="40"/>
      <c r="P10" s="5"/>
      <c r="Q10" s="49">
        <v>5</v>
      </c>
      <c r="R10" s="49">
        <f t="shared" si="0"/>
        <v>1</v>
      </c>
      <c r="S10" s="49"/>
      <c r="T10" s="57" t="str">
        <f>IF($Q10=4,1,IF($Q10=3,1," "))</f>
        <v> </v>
      </c>
    </row>
    <row r="11" spans="2:20" ht="21" customHeight="1">
      <c r="B11" s="3"/>
      <c r="C11" s="19">
        <v>505</v>
      </c>
      <c r="D11" s="20" t="s">
        <v>65</v>
      </c>
      <c r="E11" s="20"/>
      <c r="F11" s="20"/>
      <c r="G11" s="20"/>
      <c r="H11" s="20"/>
      <c r="I11" s="20"/>
      <c r="J11" s="20"/>
      <c r="K11" s="40"/>
      <c r="L11" s="40"/>
      <c r="M11" s="40"/>
      <c r="N11" s="40"/>
      <c r="O11" s="40"/>
      <c r="P11" s="5"/>
      <c r="Q11" s="49">
        <v>5</v>
      </c>
      <c r="R11" s="49">
        <f t="shared" si="0"/>
        <v>1</v>
      </c>
      <c r="S11" s="49"/>
      <c r="T11" s="57" t="str">
        <f>IF($Q11=4,1,IF($Q11=3,1," "))</f>
        <v> </v>
      </c>
    </row>
    <row r="12" spans="2:20" ht="21" customHeight="1">
      <c r="B12" s="3"/>
      <c r="C12" s="19">
        <v>506</v>
      </c>
      <c r="D12" s="20" t="s">
        <v>66</v>
      </c>
      <c r="E12" s="20"/>
      <c r="F12" s="20"/>
      <c r="G12" s="20"/>
      <c r="H12" s="20"/>
      <c r="I12" s="20"/>
      <c r="J12" s="20"/>
      <c r="K12" s="40"/>
      <c r="L12" s="40"/>
      <c r="M12" s="40"/>
      <c r="N12" s="40"/>
      <c r="O12" s="40"/>
      <c r="P12" s="5"/>
      <c r="Q12" s="49">
        <v>5</v>
      </c>
      <c r="R12" s="49">
        <f t="shared" si="0"/>
        <v>1</v>
      </c>
      <c r="S12" s="49"/>
      <c r="T12" s="57" t="str">
        <f>IF($Q12=4,1,IF($Q12=3,1," "))</f>
        <v> </v>
      </c>
    </row>
    <row r="13" spans="2:20" ht="21" customHeight="1">
      <c r="B13" s="3"/>
      <c r="C13" s="19">
        <v>507</v>
      </c>
      <c r="D13" s="20" t="s">
        <v>67</v>
      </c>
      <c r="E13" s="20"/>
      <c r="F13" s="20"/>
      <c r="G13" s="20"/>
      <c r="H13" s="20"/>
      <c r="I13" s="20"/>
      <c r="J13" s="20"/>
      <c r="K13" s="40"/>
      <c r="L13" s="40"/>
      <c r="M13" s="40"/>
      <c r="N13" s="40"/>
      <c r="O13" s="40"/>
      <c r="P13" s="5"/>
      <c r="Q13" s="49">
        <v>5</v>
      </c>
      <c r="R13" s="49">
        <f t="shared" si="0"/>
        <v>1</v>
      </c>
      <c r="S13" s="49"/>
      <c r="T13" s="49"/>
    </row>
    <row r="14" spans="2:20" ht="21" customHeight="1">
      <c r="B14" s="3"/>
      <c r="C14" s="19">
        <v>508</v>
      </c>
      <c r="D14" s="20" t="s">
        <v>68</v>
      </c>
      <c r="E14" s="20"/>
      <c r="F14" s="20"/>
      <c r="G14" s="20"/>
      <c r="H14" s="20"/>
      <c r="I14" s="20"/>
      <c r="J14" s="20"/>
      <c r="K14" s="40"/>
      <c r="L14" s="40"/>
      <c r="M14" s="40"/>
      <c r="N14" s="40"/>
      <c r="O14" s="40"/>
      <c r="P14" s="5"/>
      <c r="Q14" s="49">
        <v>5</v>
      </c>
      <c r="R14" s="49">
        <f t="shared" si="0"/>
        <v>1</v>
      </c>
      <c r="S14" s="56" t="str">
        <f>IF($Q14=4,1,IF($Q14=3,1," "))</f>
        <v> </v>
      </c>
      <c r="T14" s="49"/>
    </row>
    <row r="15" spans="2:20" ht="21" customHeight="1">
      <c r="B15" s="3"/>
      <c r="C15" s="19">
        <v>509</v>
      </c>
      <c r="D15" s="20" t="s">
        <v>72</v>
      </c>
      <c r="E15" s="20"/>
      <c r="F15" s="20"/>
      <c r="G15" s="20"/>
      <c r="H15" s="20"/>
      <c r="I15" s="20"/>
      <c r="J15" s="20"/>
      <c r="K15" s="40"/>
      <c r="L15" s="40"/>
      <c r="M15" s="40"/>
      <c r="N15" s="40"/>
      <c r="O15" s="40"/>
      <c r="P15" s="5"/>
      <c r="Q15" s="49">
        <v>5</v>
      </c>
      <c r="R15" s="49">
        <f t="shared" si="0"/>
        <v>1</v>
      </c>
      <c r="S15" s="49"/>
      <c r="T15" s="58"/>
    </row>
    <row r="16" spans="2:20" ht="21" customHeight="1">
      <c r="B16" s="3"/>
      <c r="C16" s="19">
        <v>510</v>
      </c>
      <c r="D16" s="20" t="s">
        <v>69</v>
      </c>
      <c r="E16" s="20"/>
      <c r="F16" s="20"/>
      <c r="G16" s="20"/>
      <c r="H16" s="20"/>
      <c r="I16" s="20"/>
      <c r="J16" s="20"/>
      <c r="K16" s="40"/>
      <c r="L16" s="40"/>
      <c r="M16" s="40"/>
      <c r="N16" s="40"/>
      <c r="O16" s="40"/>
      <c r="P16" s="5"/>
      <c r="Q16" s="49">
        <v>5</v>
      </c>
      <c r="R16" s="49">
        <f t="shared" si="0"/>
        <v>1</v>
      </c>
      <c r="S16" s="49"/>
      <c r="T16" s="49"/>
    </row>
    <row r="17" spans="2:20" ht="21" customHeight="1">
      <c r="B17" s="3"/>
      <c r="C17" s="19">
        <v>511</v>
      </c>
      <c r="D17" s="20" t="s">
        <v>70</v>
      </c>
      <c r="E17" s="20"/>
      <c r="F17" s="20"/>
      <c r="G17" s="20"/>
      <c r="H17" s="20"/>
      <c r="I17" s="20"/>
      <c r="J17" s="20"/>
      <c r="K17" s="40"/>
      <c r="L17" s="40"/>
      <c r="M17" s="40"/>
      <c r="N17" s="40"/>
      <c r="O17" s="40"/>
      <c r="P17" s="5"/>
      <c r="Q17" s="49">
        <v>5</v>
      </c>
      <c r="R17" s="49">
        <f t="shared" si="0"/>
        <v>1</v>
      </c>
      <c r="S17" s="56" t="str">
        <f>IF($Q17=4,1," ")</f>
        <v> </v>
      </c>
      <c r="T17" s="57" t="str">
        <f>IF($Q17=3,1," ")</f>
        <v> </v>
      </c>
    </row>
    <row r="18" spans="2:20" ht="21" customHeight="1">
      <c r="B18" s="3"/>
      <c r="C18" s="19">
        <v>512</v>
      </c>
      <c r="D18" s="20" t="s">
        <v>18</v>
      </c>
      <c r="E18" s="20"/>
      <c r="F18" s="20"/>
      <c r="G18" s="20"/>
      <c r="H18" s="20"/>
      <c r="I18" s="20"/>
      <c r="J18" s="20"/>
      <c r="K18" s="40"/>
      <c r="L18" s="40"/>
      <c r="M18" s="40"/>
      <c r="N18" s="40"/>
      <c r="O18" s="40"/>
      <c r="P18" s="5"/>
      <c r="Q18" s="49">
        <v>5</v>
      </c>
      <c r="R18" s="49">
        <f t="shared" si="0"/>
        <v>1</v>
      </c>
      <c r="S18" s="56" t="str">
        <f>IF($Q18=4,1,IF($Q18=3,1," "))</f>
        <v> </v>
      </c>
      <c r="T18" s="49"/>
    </row>
    <row r="19" spans="2:20" ht="21" customHeight="1">
      <c r="B19" s="3"/>
      <c r="C19" s="19">
        <v>513</v>
      </c>
      <c r="D19" s="20" t="s">
        <v>71</v>
      </c>
      <c r="E19" s="20"/>
      <c r="F19" s="20"/>
      <c r="G19" s="20"/>
      <c r="H19" s="20"/>
      <c r="I19" s="20"/>
      <c r="J19" s="20"/>
      <c r="K19" s="40"/>
      <c r="L19" s="40"/>
      <c r="M19" s="40"/>
      <c r="N19" s="40"/>
      <c r="O19" s="40"/>
      <c r="P19" s="5"/>
      <c r="Q19" s="49">
        <v>5</v>
      </c>
      <c r="R19" s="49">
        <f t="shared" si="0"/>
        <v>1</v>
      </c>
      <c r="S19" s="49"/>
      <c r="T19" s="58"/>
    </row>
    <row r="20" spans="2:20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13"/>
      <c r="R20" s="58">
        <f>COUNT(R7:R19)</f>
        <v>13</v>
      </c>
      <c r="S20" s="58">
        <f>COUNT(S7:S19)</f>
        <v>0</v>
      </c>
      <c r="T20" s="58">
        <f>COUNT(T7:T19)</f>
        <v>0</v>
      </c>
    </row>
    <row r="23" spans="13:16" ht="12.75">
      <c r="M23" s="38"/>
      <c r="N23" s="38"/>
      <c r="O23" s="38"/>
      <c r="P23" s="38"/>
    </row>
    <row r="24" spans="13:16" ht="12.75">
      <c r="M24" s="38"/>
      <c r="N24" s="38"/>
      <c r="O24" s="38"/>
      <c r="P24" s="38"/>
    </row>
    <row r="25" spans="13:16" ht="12.75">
      <c r="M25" s="39"/>
      <c r="N25" s="39"/>
      <c r="O25" s="39"/>
      <c r="P25" s="39"/>
    </row>
  </sheetData>
  <sheetProtection password="CC66" sheet="1" objects="1" scenarios="1"/>
  <mergeCells count="5">
    <mergeCell ref="B2:L3"/>
    <mergeCell ref="M2:P3"/>
    <mergeCell ref="D5:J6"/>
    <mergeCell ref="K5:K6"/>
    <mergeCell ref="N5:N6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T22"/>
  <sheetViews>
    <sheetView zoomScalePageLayoutView="0" workbookViewId="0" topLeftCell="A1">
      <selection activeCell="O16" sqref="O16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2.7109375" style="1" customWidth="1"/>
    <col min="17" max="17" width="14.8515625" style="1" hidden="1" customWidth="1"/>
    <col min="18" max="18" width="12.57421875" style="1" hidden="1" customWidth="1"/>
    <col min="19" max="19" width="20.8515625" style="1" hidden="1" customWidth="1"/>
    <col min="20" max="20" width="23.00390625" style="1" hidden="1" customWidth="1"/>
    <col min="21" max="16384" width="11.421875" style="1" customWidth="1"/>
  </cols>
  <sheetData>
    <row r="2" spans="2:16" ht="12.75">
      <c r="B2" s="129" t="s">
        <v>85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29">
        <v>6</v>
      </c>
      <c r="N2" s="112"/>
      <c r="O2" s="112"/>
      <c r="P2" s="113"/>
    </row>
    <row r="3" spans="2:16" ht="12.75">
      <c r="B3" s="130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30"/>
      <c r="N3" s="114"/>
      <c r="O3" s="114"/>
      <c r="P3" s="115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75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601</v>
      </c>
      <c r="D7" s="139" t="s">
        <v>76</v>
      </c>
      <c r="E7" s="139"/>
      <c r="F7" s="139"/>
      <c r="G7" s="139"/>
      <c r="H7" s="139"/>
      <c r="I7" s="139"/>
      <c r="J7" s="139"/>
      <c r="K7" s="40"/>
      <c r="L7" s="40"/>
      <c r="M7" s="40"/>
      <c r="N7" s="40"/>
      <c r="O7" s="40"/>
      <c r="P7" s="5"/>
      <c r="Q7" s="49">
        <v>5</v>
      </c>
      <c r="R7" s="49">
        <f>IF(Q7=5,1," ")</f>
        <v>1</v>
      </c>
      <c r="S7" s="56" t="str">
        <f>IF($Q7=4,1,IF($Q7=3,1," "))</f>
        <v> </v>
      </c>
      <c r="T7" s="51"/>
    </row>
    <row r="8" spans="2:20" ht="21" customHeight="1">
      <c r="B8" s="3"/>
      <c r="C8" s="19">
        <v>602</v>
      </c>
      <c r="D8" s="139" t="s">
        <v>77</v>
      </c>
      <c r="E8" s="139"/>
      <c r="F8" s="139"/>
      <c r="G8" s="139"/>
      <c r="H8" s="139"/>
      <c r="I8" s="139"/>
      <c r="J8" s="139"/>
      <c r="K8" s="40"/>
      <c r="L8" s="40"/>
      <c r="M8" s="40"/>
      <c r="N8" s="40"/>
      <c r="O8" s="40"/>
      <c r="P8" s="5"/>
      <c r="Q8" s="49">
        <v>5</v>
      </c>
      <c r="R8" s="49">
        <f aca="true" t="shared" si="0" ref="R8:R16">IF(Q8=5,1," ")</f>
        <v>1</v>
      </c>
      <c r="S8" s="56" t="str">
        <f>IF($Q8=4,1," ")</f>
        <v> </v>
      </c>
      <c r="T8" s="57" t="str">
        <f>IF($Q8=3,1," ")</f>
        <v> </v>
      </c>
    </row>
    <row r="9" spans="2:20" ht="21" customHeight="1">
      <c r="B9" s="3"/>
      <c r="C9" s="19">
        <v>603</v>
      </c>
      <c r="D9" s="139" t="s">
        <v>78</v>
      </c>
      <c r="E9" s="139"/>
      <c r="F9" s="139"/>
      <c r="G9" s="139"/>
      <c r="H9" s="139"/>
      <c r="I9" s="139"/>
      <c r="J9" s="139"/>
      <c r="K9" s="40"/>
      <c r="L9" s="40"/>
      <c r="M9" s="40"/>
      <c r="N9" s="40"/>
      <c r="O9" s="40"/>
      <c r="P9" s="5"/>
      <c r="Q9" s="49">
        <v>5</v>
      </c>
      <c r="R9" s="49">
        <f t="shared" si="0"/>
        <v>1</v>
      </c>
      <c r="S9" s="49"/>
      <c r="T9" s="49"/>
    </row>
    <row r="10" spans="2:20" ht="21" customHeight="1">
      <c r="B10" s="3"/>
      <c r="C10" s="19">
        <v>604</v>
      </c>
      <c r="D10" s="139" t="s">
        <v>79</v>
      </c>
      <c r="E10" s="139"/>
      <c r="F10" s="139"/>
      <c r="G10" s="139"/>
      <c r="H10" s="139"/>
      <c r="I10" s="139"/>
      <c r="J10" s="139"/>
      <c r="K10" s="40"/>
      <c r="L10" s="40"/>
      <c r="M10" s="40"/>
      <c r="N10" s="40"/>
      <c r="O10" s="40"/>
      <c r="P10" s="5"/>
      <c r="Q10" s="49">
        <v>5</v>
      </c>
      <c r="R10" s="49">
        <f t="shared" si="0"/>
        <v>1</v>
      </c>
      <c r="S10" s="49"/>
      <c r="T10" s="57" t="str">
        <f aca="true" t="shared" si="1" ref="T10:T15">IF($Q10=4,1,IF($Q10=3,1," "))</f>
        <v> </v>
      </c>
    </row>
    <row r="11" spans="2:20" ht="21" customHeight="1">
      <c r="B11" s="3"/>
      <c r="C11" s="19">
        <v>605</v>
      </c>
      <c r="D11" s="20" t="s">
        <v>86</v>
      </c>
      <c r="E11" s="20"/>
      <c r="F11" s="20"/>
      <c r="G11" s="20"/>
      <c r="H11" s="20"/>
      <c r="I11" s="20"/>
      <c r="J11" s="20"/>
      <c r="K11" s="40"/>
      <c r="L11" s="40"/>
      <c r="M11" s="40"/>
      <c r="N11" s="40"/>
      <c r="O11" s="40"/>
      <c r="P11" s="5"/>
      <c r="Q11" s="49">
        <v>5</v>
      </c>
      <c r="R11" s="49">
        <f t="shared" si="0"/>
        <v>1</v>
      </c>
      <c r="S11" s="49"/>
      <c r="T11" s="57" t="str">
        <f t="shared" si="1"/>
        <v> </v>
      </c>
    </row>
    <row r="12" spans="2:20" ht="21" customHeight="1">
      <c r="B12" s="3"/>
      <c r="C12" s="19">
        <v>606</v>
      </c>
      <c r="D12" s="139" t="s">
        <v>80</v>
      </c>
      <c r="E12" s="139"/>
      <c r="F12" s="139"/>
      <c r="G12" s="139"/>
      <c r="H12" s="139"/>
      <c r="I12" s="139"/>
      <c r="J12" s="139"/>
      <c r="K12" s="40"/>
      <c r="L12" s="40"/>
      <c r="M12" s="40"/>
      <c r="N12" s="40"/>
      <c r="O12" s="40"/>
      <c r="P12" s="5"/>
      <c r="Q12" s="49">
        <v>5</v>
      </c>
      <c r="R12" s="49">
        <f t="shared" si="0"/>
        <v>1</v>
      </c>
      <c r="S12" s="49"/>
      <c r="T12" s="57" t="str">
        <f t="shared" si="1"/>
        <v> </v>
      </c>
    </row>
    <row r="13" spans="2:20" ht="21" customHeight="1">
      <c r="B13" s="3"/>
      <c r="C13" s="19">
        <v>607</v>
      </c>
      <c r="D13" s="139" t="s">
        <v>81</v>
      </c>
      <c r="E13" s="139"/>
      <c r="F13" s="139"/>
      <c r="G13" s="139"/>
      <c r="H13" s="139"/>
      <c r="I13" s="139"/>
      <c r="J13" s="139"/>
      <c r="K13" s="40"/>
      <c r="L13" s="40"/>
      <c r="M13" s="40"/>
      <c r="N13" s="40"/>
      <c r="O13" s="40"/>
      <c r="P13" s="5"/>
      <c r="Q13" s="49">
        <v>5</v>
      </c>
      <c r="R13" s="49">
        <f t="shared" si="0"/>
        <v>1</v>
      </c>
      <c r="S13" s="49"/>
      <c r="T13" s="57" t="str">
        <f t="shared" si="1"/>
        <v> </v>
      </c>
    </row>
    <row r="14" spans="2:20" ht="21" customHeight="1">
      <c r="B14" s="3"/>
      <c r="C14" s="19">
        <v>608</v>
      </c>
      <c r="D14" s="139" t="s">
        <v>82</v>
      </c>
      <c r="E14" s="139"/>
      <c r="F14" s="139"/>
      <c r="G14" s="139"/>
      <c r="H14" s="139"/>
      <c r="I14" s="139"/>
      <c r="J14" s="139"/>
      <c r="K14" s="40"/>
      <c r="L14" s="40"/>
      <c r="M14" s="40"/>
      <c r="N14" s="40"/>
      <c r="O14" s="40"/>
      <c r="P14" s="5"/>
      <c r="Q14" s="49">
        <v>5</v>
      </c>
      <c r="R14" s="49">
        <f t="shared" si="0"/>
        <v>1</v>
      </c>
      <c r="S14" s="51"/>
      <c r="T14" s="57" t="str">
        <f t="shared" si="1"/>
        <v> </v>
      </c>
    </row>
    <row r="15" spans="2:20" ht="21" customHeight="1">
      <c r="B15" s="3"/>
      <c r="C15" s="19">
        <v>609</v>
      </c>
      <c r="D15" s="139" t="s">
        <v>83</v>
      </c>
      <c r="E15" s="139"/>
      <c r="F15" s="139"/>
      <c r="G15" s="139"/>
      <c r="H15" s="139"/>
      <c r="I15" s="139"/>
      <c r="J15" s="139"/>
      <c r="K15" s="40"/>
      <c r="L15" s="40"/>
      <c r="M15" s="40"/>
      <c r="N15" s="40"/>
      <c r="O15" s="40"/>
      <c r="P15" s="5"/>
      <c r="Q15" s="49">
        <v>5</v>
      </c>
      <c r="R15" s="49">
        <f t="shared" si="0"/>
        <v>1</v>
      </c>
      <c r="S15" s="49"/>
      <c r="T15" s="57" t="str">
        <f t="shared" si="1"/>
        <v> </v>
      </c>
    </row>
    <row r="16" spans="2:20" ht="21" customHeight="1">
      <c r="B16" s="3"/>
      <c r="C16" s="19">
        <v>610</v>
      </c>
      <c r="D16" s="139" t="s">
        <v>84</v>
      </c>
      <c r="E16" s="139"/>
      <c r="F16" s="139"/>
      <c r="G16" s="139"/>
      <c r="H16" s="139"/>
      <c r="I16" s="139"/>
      <c r="J16" s="139"/>
      <c r="K16" s="40"/>
      <c r="L16" s="40"/>
      <c r="M16" s="40"/>
      <c r="N16" s="40"/>
      <c r="O16" s="40"/>
      <c r="P16" s="5"/>
      <c r="Q16" s="49">
        <v>5</v>
      </c>
      <c r="R16" s="49">
        <f t="shared" si="0"/>
        <v>1</v>
      </c>
      <c r="S16" s="49"/>
      <c r="T16" s="49"/>
    </row>
    <row r="17" spans="2:20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13"/>
      <c r="R17" s="58">
        <f>COUNT(R4:R16)</f>
        <v>10</v>
      </c>
      <c r="S17" s="58">
        <f>COUNT(S4:S16)</f>
        <v>0</v>
      </c>
      <c r="T17" s="58">
        <f>COUNT(T4:T16)</f>
        <v>0</v>
      </c>
    </row>
    <row r="20" spans="12:15" ht="12.75">
      <c r="L20" s="109"/>
      <c r="M20" s="109"/>
      <c r="N20" s="109"/>
      <c r="O20" s="109"/>
    </row>
    <row r="21" spans="12:15" ht="12.75">
      <c r="L21" s="109"/>
      <c r="M21" s="109"/>
      <c r="N21" s="109"/>
      <c r="O21" s="109"/>
    </row>
    <row r="22" spans="12:15" ht="12.75">
      <c r="L22" s="108"/>
      <c r="M22" s="108"/>
      <c r="N22" s="108"/>
      <c r="O22" s="108"/>
    </row>
  </sheetData>
  <sheetProtection password="CC66" sheet="1" objects="1" scenarios="1"/>
  <mergeCells count="16">
    <mergeCell ref="L22:O22"/>
    <mergeCell ref="D14:J14"/>
    <mergeCell ref="D15:J15"/>
    <mergeCell ref="D16:J16"/>
    <mergeCell ref="D9:J9"/>
    <mergeCell ref="D10:J10"/>
    <mergeCell ref="D12:J12"/>
    <mergeCell ref="D13:J13"/>
    <mergeCell ref="L20:O20"/>
    <mergeCell ref="L21:O21"/>
    <mergeCell ref="B2:L3"/>
    <mergeCell ref="M2:P3"/>
    <mergeCell ref="D7:J7"/>
    <mergeCell ref="D8:J8"/>
    <mergeCell ref="K5:K6"/>
    <mergeCell ref="N5:N6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2:T21"/>
  <sheetViews>
    <sheetView zoomScalePageLayoutView="0" workbookViewId="0" topLeftCell="A1">
      <selection activeCell="Q1" sqref="Q1:T16384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2.7109375" style="1" customWidth="1"/>
    <col min="17" max="17" width="14.8515625" style="1" hidden="1" customWidth="1"/>
    <col min="18" max="18" width="12.57421875" style="1" hidden="1" customWidth="1"/>
    <col min="19" max="19" width="20.8515625" style="1" hidden="1" customWidth="1"/>
    <col min="20" max="20" width="23.00390625" style="1" hidden="1" customWidth="1"/>
    <col min="21" max="16384" width="11.421875" style="1" customWidth="1"/>
  </cols>
  <sheetData>
    <row r="2" spans="2:16" ht="12.75">
      <c r="B2" s="129" t="s">
        <v>96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29">
        <v>7</v>
      </c>
      <c r="N2" s="112"/>
      <c r="O2" s="112"/>
      <c r="P2" s="113"/>
    </row>
    <row r="3" spans="2:16" ht="12.75">
      <c r="B3" s="130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30"/>
      <c r="N3" s="114"/>
      <c r="O3" s="114"/>
      <c r="P3" s="115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87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701</v>
      </c>
      <c r="D7" s="20" t="s">
        <v>88</v>
      </c>
      <c r="E7" s="20"/>
      <c r="F7" s="20"/>
      <c r="G7" s="20"/>
      <c r="H7" s="20"/>
      <c r="I7" s="20"/>
      <c r="J7" s="20"/>
      <c r="K7" s="40"/>
      <c r="L7" s="40"/>
      <c r="M7" s="40"/>
      <c r="N7" s="42"/>
      <c r="O7" s="40"/>
      <c r="P7" s="5"/>
      <c r="Q7" s="49">
        <v>5</v>
      </c>
      <c r="R7" s="49">
        <f>IF(Q7=5,1," ")</f>
        <v>1</v>
      </c>
      <c r="S7" s="51"/>
      <c r="T7" s="57" t="str">
        <f>IF($Q7=4,1,IF($Q7=3,1," "))</f>
        <v> </v>
      </c>
    </row>
    <row r="8" spans="2:20" ht="21" customHeight="1">
      <c r="B8" s="3"/>
      <c r="C8" s="19">
        <v>702</v>
      </c>
      <c r="D8" s="20" t="s">
        <v>89</v>
      </c>
      <c r="E8" s="20"/>
      <c r="F8" s="20"/>
      <c r="G8" s="20"/>
      <c r="H8" s="20"/>
      <c r="I8" s="20"/>
      <c r="J8" s="20"/>
      <c r="K8" s="40"/>
      <c r="L8" s="40"/>
      <c r="M8" s="40"/>
      <c r="N8" s="42"/>
      <c r="O8" s="40"/>
      <c r="P8" s="5"/>
      <c r="Q8" s="49">
        <v>5</v>
      </c>
      <c r="R8" s="49">
        <f aca="true" t="shared" si="0" ref="R8:R15">IF(Q8=5,1," ")</f>
        <v>1</v>
      </c>
      <c r="S8" s="51"/>
      <c r="T8" s="57" t="str">
        <f>IF($Q8=4,1,IF($Q8=3,1," "))</f>
        <v> </v>
      </c>
    </row>
    <row r="9" spans="2:20" ht="21" customHeight="1">
      <c r="B9" s="3"/>
      <c r="C9" s="19">
        <v>703</v>
      </c>
      <c r="D9" s="20" t="s">
        <v>90</v>
      </c>
      <c r="E9" s="20"/>
      <c r="F9" s="20"/>
      <c r="G9" s="20"/>
      <c r="H9" s="20"/>
      <c r="I9" s="20"/>
      <c r="J9" s="20"/>
      <c r="K9" s="40"/>
      <c r="L9" s="40"/>
      <c r="M9" s="40"/>
      <c r="N9" s="42"/>
      <c r="O9" s="40"/>
      <c r="P9" s="5"/>
      <c r="Q9" s="49">
        <v>5</v>
      </c>
      <c r="R9" s="49">
        <f t="shared" si="0"/>
        <v>1</v>
      </c>
      <c r="S9" s="56" t="str">
        <f>IF($Q9=4,1," ")</f>
        <v> </v>
      </c>
      <c r="T9" s="57" t="str">
        <f>IF($Q9=3,1," ")</f>
        <v> </v>
      </c>
    </row>
    <row r="10" spans="2:20" ht="21" customHeight="1">
      <c r="B10" s="3"/>
      <c r="C10" s="19">
        <v>704</v>
      </c>
      <c r="D10" s="20" t="s">
        <v>91</v>
      </c>
      <c r="E10" s="20"/>
      <c r="F10" s="20"/>
      <c r="G10" s="20"/>
      <c r="H10" s="20"/>
      <c r="I10" s="20"/>
      <c r="J10" s="20"/>
      <c r="K10" s="40"/>
      <c r="L10" s="40"/>
      <c r="M10" s="40"/>
      <c r="N10" s="42"/>
      <c r="O10" s="40"/>
      <c r="P10" s="5"/>
      <c r="Q10" s="49">
        <v>5</v>
      </c>
      <c r="R10" s="49">
        <f t="shared" si="0"/>
        <v>1</v>
      </c>
      <c r="S10" s="49"/>
      <c r="T10" s="57" t="str">
        <f>IF($Q10=4,1,IF($Q10=3,1," "))</f>
        <v> </v>
      </c>
    </row>
    <row r="11" spans="2:20" ht="21" customHeight="1">
      <c r="B11" s="3"/>
      <c r="C11" s="19">
        <v>705</v>
      </c>
      <c r="D11" s="20" t="s">
        <v>92</v>
      </c>
      <c r="E11" s="20"/>
      <c r="F11" s="20"/>
      <c r="G11" s="20"/>
      <c r="H11" s="20"/>
      <c r="I11" s="20"/>
      <c r="J11" s="20"/>
      <c r="K11" s="40"/>
      <c r="L11" s="40"/>
      <c r="M11" s="40"/>
      <c r="N11" s="42"/>
      <c r="O11" s="40"/>
      <c r="P11" s="5"/>
      <c r="Q11" s="49">
        <v>5</v>
      </c>
      <c r="R11" s="49">
        <f t="shared" si="0"/>
        <v>1</v>
      </c>
      <c r="S11" s="49"/>
      <c r="T11" s="51"/>
    </row>
    <row r="12" spans="2:20" ht="21" customHeight="1">
      <c r="B12" s="3"/>
      <c r="C12" s="19">
        <v>706</v>
      </c>
      <c r="D12" s="20" t="s">
        <v>93</v>
      </c>
      <c r="E12" s="20"/>
      <c r="F12" s="20"/>
      <c r="G12" s="20"/>
      <c r="H12" s="20"/>
      <c r="I12" s="20"/>
      <c r="J12" s="20"/>
      <c r="K12" s="40"/>
      <c r="L12" s="40"/>
      <c r="M12" s="40"/>
      <c r="N12" s="42"/>
      <c r="O12" s="40"/>
      <c r="P12" s="5"/>
      <c r="Q12" s="49">
        <v>5</v>
      </c>
      <c r="R12" s="49">
        <f t="shared" si="0"/>
        <v>1</v>
      </c>
      <c r="S12" s="56" t="str">
        <f>IF($Q12=4,1,IF($Q12=3,1," "))</f>
        <v> </v>
      </c>
      <c r="T12" s="51"/>
    </row>
    <row r="13" spans="2:20" ht="21" customHeight="1">
      <c r="B13" s="3"/>
      <c r="C13" s="19">
        <v>707</v>
      </c>
      <c r="D13" s="20" t="s">
        <v>94</v>
      </c>
      <c r="E13" s="20"/>
      <c r="F13" s="20"/>
      <c r="G13" s="20"/>
      <c r="H13" s="20"/>
      <c r="I13" s="20"/>
      <c r="J13" s="20"/>
      <c r="K13" s="40"/>
      <c r="L13" s="40"/>
      <c r="M13" s="40"/>
      <c r="N13" s="42"/>
      <c r="O13" s="40"/>
      <c r="P13" s="5"/>
      <c r="Q13" s="49">
        <v>5</v>
      </c>
      <c r="R13" s="49">
        <f t="shared" si="0"/>
        <v>1</v>
      </c>
      <c r="S13" s="56" t="str">
        <f>IF($Q13=4,1,IF($Q13=3,1," "))</f>
        <v> </v>
      </c>
      <c r="T13" s="51"/>
    </row>
    <row r="14" spans="2:20" ht="21" customHeight="1">
      <c r="B14" s="3"/>
      <c r="C14" s="19">
        <v>708</v>
      </c>
      <c r="D14" s="20" t="s">
        <v>15</v>
      </c>
      <c r="E14" s="20"/>
      <c r="F14" s="20"/>
      <c r="G14" s="20"/>
      <c r="H14" s="20"/>
      <c r="I14" s="20"/>
      <c r="J14" s="20"/>
      <c r="K14" s="40"/>
      <c r="L14" s="40"/>
      <c r="M14" s="40"/>
      <c r="N14" s="42"/>
      <c r="O14" s="40"/>
      <c r="P14" s="5"/>
      <c r="Q14" s="49">
        <v>5</v>
      </c>
      <c r="R14" s="49">
        <f t="shared" si="0"/>
        <v>1</v>
      </c>
      <c r="S14" s="51"/>
      <c r="T14" s="57" t="str">
        <f>IF($Q14=4,1,IF($Q14=3,1," "))</f>
        <v> </v>
      </c>
    </row>
    <row r="15" spans="2:20" ht="21" customHeight="1">
      <c r="B15" s="3"/>
      <c r="C15" s="19">
        <v>709</v>
      </c>
      <c r="D15" s="20" t="s">
        <v>95</v>
      </c>
      <c r="E15" s="20"/>
      <c r="F15" s="20"/>
      <c r="G15" s="20"/>
      <c r="H15" s="20"/>
      <c r="I15" s="20"/>
      <c r="J15" s="20"/>
      <c r="K15" s="40"/>
      <c r="L15" s="40"/>
      <c r="M15" s="40"/>
      <c r="N15" s="42"/>
      <c r="O15" s="40"/>
      <c r="P15" s="5"/>
      <c r="Q15" s="49">
        <v>5</v>
      </c>
      <c r="R15" s="49">
        <f t="shared" si="0"/>
        <v>1</v>
      </c>
      <c r="S15" s="49"/>
      <c r="T15" s="57" t="str">
        <f>IF($Q15=4,1,IF($Q15=3,1," "))</f>
        <v> </v>
      </c>
    </row>
    <row r="16" spans="2:20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58"/>
      <c r="R16" s="58">
        <f>COUNT(R3:R15)</f>
        <v>9</v>
      </c>
      <c r="S16" s="58">
        <f>COUNT(S3:S15)</f>
        <v>0</v>
      </c>
      <c r="T16" s="58">
        <f>COUNT(T3:T15)</f>
        <v>0</v>
      </c>
    </row>
    <row r="19" spans="12:15" ht="12.75">
      <c r="L19" s="109"/>
      <c r="M19" s="109"/>
      <c r="N19" s="109"/>
      <c r="O19" s="109"/>
    </row>
    <row r="20" spans="12:15" ht="12.75">
      <c r="L20" s="109"/>
      <c r="M20" s="109"/>
      <c r="N20" s="109"/>
      <c r="O20" s="109"/>
    </row>
    <row r="21" spans="12:15" ht="12.75">
      <c r="L21" s="108"/>
      <c r="M21" s="108"/>
      <c r="N21" s="108"/>
      <c r="O21" s="108"/>
    </row>
  </sheetData>
  <sheetProtection password="CC66" sheet="1" objects="1" scenarios="1"/>
  <mergeCells count="7">
    <mergeCell ref="L19:O19"/>
    <mergeCell ref="L20:O20"/>
    <mergeCell ref="L21:O21"/>
    <mergeCell ref="B2:L3"/>
    <mergeCell ref="M2:P3"/>
    <mergeCell ref="K5:K6"/>
    <mergeCell ref="N5:N6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B2:T24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2" width="2.7109375" style="1" customWidth="1"/>
    <col min="3" max="10" width="11.421875" style="1" customWidth="1"/>
    <col min="11" max="15" width="6.7109375" style="1" customWidth="1"/>
    <col min="16" max="16" width="5.7109375" style="1" customWidth="1"/>
    <col min="17" max="17" width="14.8515625" style="1" hidden="1" customWidth="1"/>
    <col min="18" max="18" width="12.57421875" style="1" hidden="1" customWidth="1"/>
    <col min="19" max="19" width="20.8515625" style="1" hidden="1" customWidth="1"/>
    <col min="20" max="20" width="23.00390625" style="1" hidden="1" customWidth="1"/>
    <col min="21" max="16384" width="11.421875" style="1" customWidth="1"/>
  </cols>
  <sheetData>
    <row r="2" spans="2:16" ht="12.75">
      <c r="B2" s="140" t="s">
        <v>110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0">
        <v>8</v>
      </c>
      <c r="N2" s="141"/>
      <c r="O2" s="141"/>
      <c r="P2" s="142"/>
    </row>
    <row r="3" spans="2:16" ht="12.75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3"/>
      <c r="N3" s="144"/>
      <c r="O3" s="144"/>
      <c r="P3" s="145"/>
    </row>
    <row r="4" spans="2:16" ht="21" customHeight="1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2:20" ht="12.75">
      <c r="B5" s="3"/>
      <c r="C5" s="4"/>
      <c r="D5" s="30" t="s">
        <v>97</v>
      </c>
      <c r="E5" s="31"/>
      <c r="F5" s="31"/>
      <c r="G5" s="31"/>
      <c r="H5" s="31"/>
      <c r="I5" s="31"/>
      <c r="J5" s="32"/>
      <c r="K5" s="131" t="s">
        <v>1</v>
      </c>
      <c r="L5" s="21" t="s">
        <v>2</v>
      </c>
      <c r="M5" s="21" t="s">
        <v>2</v>
      </c>
      <c r="N5" s="131" t="s">
        <v>3</v>
      </c>
      <c r="O5" s="25" t="s">
        <v>119</v>
      </c>
      <c r="P5" s="5"/>
      <c r="Q5" s="53" t="s">
        <v>129</v>
      </c>
      <c r="R5" s="53" t="s">
        <v>131</v>
      </c>
      <c r="S5" s="53" t="s">
        <v>126</v>
      </c>
      <c r="T5" s="50" t="s">
        <v>128</v>
      </c>
    </row>
    <row r="6" spans="2:20" ht="12.75">
      <c r="B6" s="3"/>
      <c r="C6" s="4"/>
      <c r="D6" s="33"/>
      <c r="E6" s="34"/>
      <c r="F6" s="34"/>
      <c r="G6" s="34"/>
      <c r="H6" s="34"/>
      <c r="I6" s="34"/>
      <c r="J6" s="35"/>
      <c r="K6" s="132"/>
      <c r="L6" s="22" t="s">
        <v>4</v>
      </c>
      <c r="M6" s="22" t="s">
        <v>5</v>
      </c>
      <c r="N6" s="132"/>
      <c r="O6" s="22" t="s">
        <v>120</v>
      </c>
      <c r="P6" s="5"/>
      <c r="Q6" s="54" t="s">
        <v>130</v>
      </c>
      <c r="R6" s="54" t="s">
        <v>132</v>
      </c>
      <c r="S6" s="54" t="s">
        <v>127</v>
      </c>
      <c r="T6" s="52" t="s">
        <v>127</v>
      </c>
    </row>
    <row r="7" spans="2:20" ht="21" customHeight="1">
      <c r="B7" s="3"/>
      <c r="C7" s="19">
        <v>801</v>
      </c>
      <c r="D7" s="20" t="s">
        <v>98</v>
      </c>
      <c r="E7" s="20"/>
      <c r="F7" s="20"/>
      <c r="G7" s="20"/>
      <c r="H7" s="20"/>
      <c r="I7" s="20"/>
      <c r="J7" s="20"/>
      <c r="K7" s="40"/>
      <c r="L7" s="40"/>
      <c r="M7" s="40"/>
      <c r="N7" s="40"/>
      <c r="O7" s="40"/>
      <c r="P7" s="5"/>
      <c r="Q7" s="49">
        <v>5</v>
      </c>
      <c r="R7" s="49">
        <f>IF(Q7=5,1," ")</f>
        <v>1</v>
      </c>
      <c r="S7" s="56" t="str">
        <f>IF($Q7=4,1," ")</f>
        <v> </v>
      </c>
      <c r="T7" s="57" t="str">
        <f>IF($Q7=3,1," ")</f>
        <v> </v>
      </c>
    </row>
    <row r="8" spans="2:20" ht="21" customHeight="1">
      <c r="B8" s="3"/>
      <c r="C8" s="19">
        <v>802</v>
      </c>
      <c r="D8" s="20" t="s">
        <v>99</v>
      </c>
      <c r="E8" s="20"/>
      <c r="F8" s="20"/>
      <c r="G8" s="20"/>
      <c r="H8" s="20"/>
      <c r="I8" s="20"/>
      <c r="J8" s="20"/>
      <c r="K8" s="40"/>
      <c r="L8" s="40"/>
      <c r="M8" s="40"/>
      <c r="N8" s="40"/>
      <c r="O8" s="40"/>
      <c r="P8" s="5"/>
      <c r="Q8" s="49">
        <v>5</v>
      </c>
      <c r="R8" s="49">
        <f aca="true" t="shared" si="0" ref="R8:R18">IF(Q8=5,1," ")</f>
        <v>1</v>
      </c>
      <c r="S8" s="49"/>
      <c r="T8" s="57" t="str">
        <f>IF($Q8=4,1,IF($Q8=3,1," "))</f>
        <v> </v>
      </c>
    </row>
    <row r="9" spans="2:20" ht="21" customHeight="1">
      <c r="B9" s="3"/>
      <c r="C9" s="19">
        <v>803</v>
      </c>
      <c r="D9" s="20" t="s">
        <v>100</v>
      </c>
      <c r="E9" s="20"/>
      <c r="F9" s="20"/>
      <c r="G9" s="20"/>
      <c r="H9" s="20"/>
      <c r="I9" s="20"/>
      <c r="J9" s="20"/>
      <c r="K9" s="40"/>
      <c r="L9" s="40"/>
      <c r="M9" s="40"/>
      <c r="N9" s="40"/>
      <c r="O9" s="40"/>
      <c r="P9" s="5"/>
      <c r="Q9" s="49">
        <v>5</v>
      </c>
      <c r="R9" s="49">
        <f t="shared" si="0"/>
        <v>1</v>
      </c>
      <c r="S9" s="49"/>
      <c r="T9" s="57" t="str">
        <f>IF($Q9=4,1,IF($Q9=3,1," "))</f>
        <v> </v>
      </c>
    </row>
    <row r="10" spans="2:20" ht="21" customHeight="1">
      <c r="B10" s="3"/>
      <c r="C10" s="19">
        <v>804</v>
      </c>
      <c r="D10" s="20" t="s">
        <v>101</v>
      </c>
      <c r="E10" s="20"/>
      <c r="F10" s="20"/>
      <c r="G10" s="20"/>
      <c r="H10" s="20"/>
      <c r="I10" s="20"/>
      <c r="J10" s="20"/>
      <c r="K10" s="40"/>
      <c r="L10" s="40"/>
      <c r="M10" s="40"/>
      <c r="N10" s="40"/>
      <c r="O10" s="40"/>
      <c r="P10" s="5"/>
      <c r="Q10" s="49">
        <v>5</v>
      </c>
      <c r="R10" s="49">
        <f t="shared" si="0"/>
        <v>1</v>
      </c>
      <c r="S10" s="56" t="str">
        <f>IF($Q10=4,1,IF($Q10=3,1," "))</f>
        <v> </v>
      </c>
      <c r="T10" s="49"/>
    </row>
    <row r="11" spans="2:20" ht="21" customHeight="1">
      <c r="B11" s="3"/>
      <c r="C11" s="19">
        <v>805</v>
      </c>
      <c r="D11" s="20" t="s">
        <v>102</v>
      </c>
      <c r="E11" s="20"/>
      <c r="F11" s="20"/>
      <c r="G11" s="20"/>
      <c r="H11" s="20"/>
      <c r="I11" s="20"/>
      <c r="J11" s="20"/>
      <c r="K11" s="40"/>
      <c r="L11" s="40"/>
      <c r="M11" s="40"/>
      <c r="N11" s="40"/>
      <c r="O11" s="40"/>
      <c r="P11" s="5"/>
      <c r="Q11" s="49">
        <v>5</v>
      </c>
      <c r="R11" s="49">
        <f t="shared" si="0"/>
        <v>1</v>
      </c>
      <c r="S11" s="49"/>
      <c r="T11" s="57" t="str">
        <f>IF($Q11=4,1,IF($Q11=3,1," "))</f>
        <v> </v>
      </c>
    </row>
    <row r="12" spans="2:20" ht="21" customHeight="1">
      <c r="B12" s="3"/>
      <c r="C12" s="19">
        <v>806</v>
      </c>
      <c r="D12" s="20" t="s">
        <v>103</v>
      </c>
      <c r="E12" s="20"/>
      <c r="F12" s="20"/>
      <c r="G12" s="20"/>
      <c r="H12" s="20"/>
      <c r="I12" s="20"/>
      <c r="J12" s="20"/>
      <c r="K12" s="40"/>
      <c r="L12" s="40"/>
      <c r="M12" s="40"/>
      <c r="N12" s="40"/>
      <c r="O12" s="40"/>
      <c r="P12" s="5"/>
      <c r="Q12" s="49">
        <v>5</v>
      </c>
      <c r="R12" s="49">
        <f t="shared" si="0"/>
        <v>1</v>
      </c>
      <c r="S12" s="56" t="str">
        <f>IF($Q12=4,1,IF($Q12=3,1," "))</f>
        <v> </v>
      </c>
      <c r="T12" s="49"/>
    </row>
    <row r="13" spans="2:20" ht="21" customHeight="1">
      <c r="B13" s="3"/>
      <c r="C13" s="19">
        <v>807</v>
      </c>
      <c r="D13" s="20" t="s">
        <v>104</v>
      </c>
      <c r="E13" s="20"/>
      <c r="F13" s="20"/>
      <c r="G13" s="20"/>
      <c r="H13" s="20"/>
      <c r="I13" s="20"/>
      <c r="J13" s="20"/>
      <c r="K13" s="40"/>
      <c r="L13" s="40"/>
      <c r="M13" s="40"/>
      <c r="N13" s="40"/>
      <c r="O13" s="40"/>
      <c r="P13" s="5"/>
      <c r="Q13" s="49">
        <v>5</v>
      </c>
      <c r="R13" s="49">
        <f t="shared" si="0"/>
        <v>1</v>
      </c>
      <c r="S13" s="49"/>
      <c r="T13" s="49"/>
    </row>
    <row r="14" spans="2:20" ht="21" customHeight="1">
      <c r="B14" s="3"/>
      <c r="C14" s="19">
        <v>808</v>
      </c>
      <c r="D14" s="20" t="s">
        <v>105</v>
      </c>
      <c r="E14" s="20"/>
      <c r="F14" s="20"/>
      <c r="G14" s="20"/>
      <c r="H14" s="20"/>
      <c r="I14" s="20"/>
      <c r="J14" s="20"/>
      <c r="K14" s="40"/>
      <c r="L14" s="40"/>
      <c r="M14" s="40"/>
      <c r="N14" s="40"/>
      <c r="O14" s="40"/>
      <c r="P14" s="5"/>
      <c r="Q14" s="49">
        <v>5</v>
      </c>
      <c r="R14" s="49">
        <f t="shared" si="0"/>
        <v>1</v>
      </c>
      <c r="S14" s="49"/>
      <c r="T14" s="49"/>
    </row>
    <row r="15" spans="2:20" ht="21" customHeight="1">
      <c r="B15" s="3"/>
      <c r="C15" s="19">
        <v>809</v>
      </c>
      <c r="D15" s="20" t="s">
        <v>106</v>
      </c>
      <c r="E15" s="20"/>
      <c r="F15" s="20"/>
      <c r="G15" s="20"/>
      <c r="H15" s="20"/>
      <c r="I15" s="20"/>
      <c r="J15" s="20"/>
      <c r="K15" s="40"/>
      <c r="L15" s="40"/>
      <c r="M15" s="40"/>
      <c r="N15" s="40"/>
      <c r="O15" s="40"/>
      <c r="P15" s="5"/>
      <c r="Q15" s="49">
        <v>5</v>
      </c>
      <c r="R15" s="49">
        <f t="shared" si="0"/>
        <v>1</v>
      </c>
      <c r="S15" s="56" t="str">
        <f>IF($Q15=4,1," ")</f>
        <v> </v>
      </c>
      <c r="T15" s="57" t="str">
        <f>IF($Q15=3,1," ")</f>
        <v> </v>
      </c>
    </row>
    <row r="16" spans="2:20" ht="21" customHeight="1">
      <c r="B16" s="3"/>
      <c r="C16" s="19">
        <v>810</v>
      </c>
      <c r="D16" s="20" t="s">
        <v>107</v>
      </c>
      <c r="E16" s="20"/>
      <c r="F16" s="20"/>
      <c r="G16" s="20"/>
      <c r="H16" s="20"/>
      <c r="I16" s="20"/>
      <c r="J16" s="20"/>
      <c r="K16" s="40"/>
      <c r="L16" s="40"/>
      <c r="M16" s="40"/>
      <c r="N16" s="40"/>
      <c r="O16" s="40"/>
      <c r="P16" s="5"/>
      <c r="Q16" s="49">
        <v>5</v>
      </c>
      <c r="R16" s="49">
        <f t="shared" si="0"/>
        <v>1</v>
      </c>
      <c r="S16" s="58"/>
      <c r="T16" s="57" t="str">
        <f>IF($Q16=4,1,IF($Q16=3,1," "))</f>
        <v> </v>
      </c>
    </row>
    <row r="17" spans="2:20" ht="21" customHeight="1">
      <c r="B17" s="3"/>
      <c r="C17" s="19">
        <v>811</v>
      </c>
      <c r="D17" s="20" t="s">
        <v>108</v>
      </c>
      <c r="E17" s="20"/>
      <c r="F17" s="20"/>
      <c r="G17" s="20"/>
      <c r="H17" s="20"/>
      <c r="I17" s="20"/>
      <c r="J17" s="20"/>
      <c r="K17" s="40"/>
      <c r="L17" s="40"/>
      <c r="M17" s="40"/>
      <c r="N17" s="40"/>
      <c r="O17" s="40"/>
      <c r="P17" s="5"/>
      <c r="Q17" s="49">
        <v>5</v>
      </c>
      <c r="R17" s="49">
        <f t="shared" si="0"/>
        <v>1</v>
      </c>
      <c r="S17" s="55"/>
      <c r="T17" s="57" t="str">
        <f>IF($Q17=4,1,IF($Q17=3,1," "))</f>
        <v> </v>
      </c>
    </row>
    <row r="18" spans="2:20" ht="21" customHeight="1">
      <c r="B18" s="3"/>
      <c r="C18" s="19">
        <v>812</v>
      </c>
      <c r="D18" s="20" t="s">
        <v>109</v>
      </c>
      <c r="E18" s="20"/>
      <c r="F18" s="20"/>
      <c r="G18" s="20"/>
      <c r="H18" s="20"/>
      <c r="I18" s="20"/>
      <c r="J18" s="20"/>
      <c r="K18" s="40"/>
      <c r="L18" s="40"/>
      <c r="M18" s="40"/>
      <c r="N18" s="40"/>
      <c r="O18" s="40"/>
      <c r="P18" s="5"/>
      <c r="Q18" s="49">
        <v>5</v>
      </c>
      <c r="R18" s="49">
        <f t="shared" si="0"/>
        <v>1</v>
      </c>
      <c r="S18" s="55"/>
      <c r="T18" s="57" t="str">
        <f>IF($Q18=4,1,IF($Q18=3,1," "))</f>
        <v> </v>
      </c>
    </row>
    <row r="19" spans="2:20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58"/>
      <c r="R19" s="58">
        <f>COUNT(R6:R18)</f>
        <v>12</v>
      </c>
      <c r="S19" s="58">
        <f>COUNT(S6:S18)</f>
        <v>0</v>
      </c>
      <c r="T19" s="58">
        <f>COUNT(T6:T18)</f>
        <v>0</v>
      </c>
    </row>
    <row r="22" spans="13:16" ht="12.75">
      <c r="M22" s="109"/>
      <c r="N22" s="109"/>
      <c r="O22" s="109"/>
      <c r="P22" s="109"/>
    </row>
    <row r="23" spans="13:16" ht="12.75">
      <c r="M23" s="109"/>
      <c r="N23" s="109"/>
      <c r="O23" s="109"/>
      <c r="P23" s="109"/>
    </row>
    <row r="24" spans="13:16" ht="12.75">
      <c r="M24" s="108"/>
      <c r="N24" s="108"/>
      <c r="O24" s="108"/>
      <c r="P24" s="108"/>
    </row>
  </sheetData>
  <sheetProtection password="CC66" sheet="1" objects="1" scenarios="1"/>
  <mergeCells count="7">
    <mergeCell ref="M22:P22"/>
    <mergeCell ref="M23:P23"/>
    <mergeCell ref="M24:P24"/>
    <mergeCell ref="B2:L3"/>
    <mergeCell ref="M2:P3"/>
    <mergeCell ref="K5:K6"/>
    <mergeCell ref="N5:N6"/>
  </mergeCells>
  <printOptions/>
  <pageMargins left="0.787401575" right="0.787401575" top="0.984251969" bottom="0.984251969" header="0.4921259845" footer="0.4921259845"/>
  <pageSetup horizontalDpi="200" verticalDpi="2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O157"/>
  <sheetViews>
    <sheetView tabSelected="1" zoomScaleSheetLayoutView="75" zoomScalePageLayoutView="0" workbookViewId="0" topLeftCell="A1">
      <selection activeCell="A1" sqref="A1:L1"/>
    </sheetView>
  </sheetViews>
  <sheetFormatPr defaultColWidth="11.421875" defaultRowHeight="12.75"/>
  <cols>
    <col min="1" max="1" width="12.140625" style="1" customWidth="1"/>
    <col min="2" max="5" width="5.7109375" style="1" customWidth="1"/>
    <col min="6" max="6" width="37.57421875" style="1" customWidth="1"/>
    <col min="7" max="7" width="2.28125" style="1" customWidth="1"/>
    <col min="8" max="8" width="18.140625" style="1" customWidth="1"/>
    <col min="9" max="9" width="5.57421875" style="36" bestFit="1" customWidth="1"/>
    <col min="10" max="10" width="6.140625" style="1" bestFit="1" customWidth="1"/>
    <col min="11" max="11" width="10.140625" style="1" customWidth="1"/>
    <col min="12" max="12" width="10.421875" style="1" customWidth="1"/>
    <col min="13" max="14" width="13.57421875" style="1" hidden="1" customWidth="1"/>
    <col min="15" max="15" width="11.421875" style="100" customWidth="1"/>
    <col min="16" max="16384" width="11.421875" style="1" customWidth="1"/>
  </cols>
  <sheetData>
    <row r="1" spans="1:15" s="37" customFormat="1" ht="24.75" customHeight="1">
      <c r="A1" s="173" t="s">
        <v>154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  <c r="O1" s="99"/>
    </row>
    <row r="2" spans="1:12" ht="24.75" customHeight="1">
      <c r="A2" s="100"/>
      <c r="B2" s="100"/>
      <c r="C2" s="100"/>
      <c r="D2" s="100"/>
      <c r="E2" s="100"/>
      <c r="F2" s="100"/>
      <c r="G2" s="100"/>
      <c r="H2" s="100"/>
      <c r="I2" s="101"/>
      <c r="J2" s="100"/>
      <c r="K2" s="100"/>
      <c r="L2" s="100"/>
    </row>
    <row r="3" spans="1:12" ht="12.75">
      <c r="A3" s="4"/>
      <c r="B3" s="180" t="s">
        <v>21</v>
      </c>
      <c r="C3" s="180"/>
      <c r="D3" s="180"/>
      <c r="E3" s="180"/>
      <c r="F3" s="180"/>
      <c r="G3" s="180"/>
      <c r="H3" s="180"/>
      <c r="I3" s="169" t="s">
        <v>134</v>
      </c>
      <c r="J3" s="170"/>
      <c r="K3" s="178" t="s">
        <v>133</v>
      </c>
      <c r="L3" s="179"/>
    </row>
    <row r="4" spans="1:14" ht="12.75">
      <c r="A4" s="4"/>
      <c r="B4" s="180"/>
      <c r="C4" s="180"/>
      <c r="D4" s="180"/>
      <c r="E4" s="180"/>
      <c r="F4" s="180"/>
      <c r="G4" s="180"/>
      <c r="H4" s="180"/>
      <c r="I4" s="171"/>
      <c r="J4" s="172"/>
      <c r="K4" s="98" t="s">
        <v>140</v>
      </c>
      <c r="L4" s="98" t="s">
        <v>144</v>
      </c>
      <c r="M4" s="13" t="s">
        <v>139</v>
      </c>
      <c r="N4" s="13" t="s">
        <v>147</v>
      </c>
    </row>
    <row r="5" spans="1:14" ht="12.75">
      <c r="A5" s="47">
        <v>101</v>
      </c>
      <c r="B5" s="168" t="s">
        <v>138</v>
      </c>
      <c r="C5" s="176"/>
      <c r="D5" s="176"/>
      <c r="E5" s="176"/>
      <c r="F5" s="176"/>
      <c r="G5" s="176"/>
      <c r="H5" s="177"/>
      <c r="I5" s="62">
        <f>IF('Gestion des Equipements'!$Q6=1,1,IF('Gestion des Equipements'!$Q6=2,0.7,IF('Gestion des Equipements'!$Q6=3,0.3,IF('Gestion des Equipements'!$Q6=4,0,IF('Gestion des Equipements'!$Q6=5,0.5,"Pas de réponse !")))))</f>
        <v>0.5</v>
      </c>
      <c r="J5" s="61" t="s">
        <v>136</v>
      </c>
      <c r="K5" s="58" t="str">
        <f>IF('Gestion des Equipements'!S6=1,"X"," ")</f>
        <v> </v>
      </c>
      <c r="L5" s="58" t="str">
        <f>IF('Gestion des Equipements'!$T6=1,"X"," ")</f>
        <v> </v>
      </c>
      <c r="M5" s="49" t="str">
        <f>IF(K5="X",1," ")</f>
        <v> </v>
      </c>
      <c r="N5" s="49" t="str">
        <f>IF(L5="X",1," ")</f>
        <v> </v>
      </c>
    </row>
    <row r="6" spans="1:14" ht="12.75">
      <c r="A6" s="47">
        <v>102</v>
      </c>
      <c r="B6" s="168" t="s">
        <v>7</v>
      </c>
      <c r="C6" s="176"/>
      <c r="D6" s="176"/>
      <c r="E6" s="176"/>
      <c r="F6" s="176"/>
      <c r="G6" s="176"/>
      <c r="H6" s="177"/>
      <c r="I6" s="62">
        <f>IF('Gestion des Equipements'!$Q7=1,1,IF('Gestion des Equipements'!$Q7=2,0.7,IF('Gestion des Equipements'!$Q7=3,0.3,IF('Gestion des Equipements'!$Q7=4,0,IF('Gestion des Equipements'!$Q7=5,0.5,"Pas de réponse !")))))</f>
        <v>0.5</v>
      </c>
      <c r="J6" s="61" t="s">
        <v>136</v>
      </c>
      <c r="K6" s="58" t="str">
        <f>IF('Gestion des Equipements'!S7=1,"X"," ")</f>
        <v> </v>
      </c>
      <c r="L6" s="58" t="str">
        <f>IF('Gestion des Equipements'!$T7=1,"X"," ")</f>
        <v> </v>
      </c>
      <c r="M6" s="49" t="str">
        <f aca="true" t="shared" si="0" ref="M6:M19">IF(K6="X",1," ")</f>
        <v> </v>
      </c>
      <c r="N6" s="49" t="str">
        <f aca="true" t="shared" si="1" ref="N6:N19">IF(L6="X",1," ")</f>
        <v> </v>
      </c>
    </row>
    <row r="7" spans="1:14" ht="12.75">
      <c r="A7" s="47">
        <v>103</v>
      </c>
      <c r="B7" s="168" t="s">
        <v>8</v>
      </c>
      <c r="C7" s="176"/>
      <c r="D7" s="176"/>
      <c r="E7" s="176"/>
      <c r="F7" s="176"/>
      <c r="G7" s="176"/>
      <c r="H7" s="177"/>
      <c r="I7" s="62">
        <f>IF('Gestion des Equipements'!$Q8=1,1,IF('Gestion des Equipements'!$Q8=2,0.7,IF('Gestion des Equipements'!$Q8=3,0.3,IF('Gestion des Equipements'!$Q8=4,0,IF('Gestion des Equipements'!$Q8=5,0.5,"Pas de réponse !")))))</f>
        <v>0.5</v>
      </c>
      <c r="J7" s="61" t="s">
        <v>136</v>
      </c>
      <c r="K7" s="58" t="str">
        <f>IF('Gestion des Equipements'!S8=1,"X"," ")</f>
        <v> </v>
      </c>
      <c r="L7" s="58" t="str">
        <f>IF('Gestion des Equipements'!$T8=1,"X"," ")</f>
        <v> </v>
      </c>
      <c r="M7" s="49" t="str">
        <f t="shared" si="0"/>
        <v> </v>
      </c>
      <c r="N7" s="49" t="str">
        <f t="shared" si="1"/>
        <v> </v>
      </c>
    </row>
    <row r="8" spans="1:14" ht="12.75">
      <c r="A8" s="47">
        <v>104</v>
      </c>
      <c r="B8" s="168" t="s">
        <v>9</v>
      </c>
      <c r="C8" s="176"/>
      <c r="D8" s="176"/>
      <c r="E8" s="176"/>
      <c r="F8" s="176"/>
      <c r="G8" s="176"/>
      <c r="H8" s="177"/>
      <c r="I8" s="62">
        <f>IF('Gestion des Equipements'!$Q9=1,1,IF('Gestion des Equipements'!$Q9=2,0.7,IF('Gestion des Equipements'!$Q9=3,0.3,IF('Gestion des Equipements'!$Q9=4,0,IF('Gestion des Equipements'!$Q9=5,0.5,"Pas de réponse !")))))</f>
        <v>0.5</v>
      </c>
      <c r="J8" s="61" t="s">
        <v>136</v>
      </c>
      <c r="K8" s="58" t="str">
        <f>IF('Gestion des Equipements'!S9=1,"X"," ")</f>
        <v> </v>
      </c>
      <c r="L8" s="58" t="str">
        <f>IF('Gestion des Equipements'!$T9=1,"X"," ")</f>
        <v> </v>
      </c>
      <c r="M8" s="49" t="str">
        <f t="shared" si="0"/>
        <v> </v>
      </c>
      <c r="N8" s="49" t="str">
        <f t="shared" si="1"/>
        <v> </v>
      </c>
    </row>
    <row r="9" spans="1:14" ht="12.75">
      <c r="A9" s="47">
        <v>105</v>
      </c>
      <c r="B9" s="168" t="s">
        <v>10</v>
      </c>
      <c r="C9" s="176"/>
      <c r="D9" s="176"/>
      <c r="E9" s="176"/>
      <c r="F9" s="176"/>
      <c r="G9" s="176"/>
      <c r="H9" s="177"/>
      <c r="I9" s="62">
        <f>IF('Gestion des Equipements'!$Q10=1,1,IF('Gestion des Equipements'!$Q10=2,0.7,IF('Gestion des Equipements'!$Q10=3,0.3,IF('Gestion des Equipements'!$Q10=4,0,IF('Gestion des Equipements'!$Q10=5,0.5,"Pas de réponse !")))))</f>
        <v>0.5</v>
      </c>
      <c r="J9" s="61" t="s">
        <v>136</v>
      </c>
      <c r="K9" s="58" t="str">
        <f>IF('Gestion des Equipements'!S10=1,"X"," ")</f>
        <v> </v>
      </c>
      <c r="L9" s="58" t="str">
        <f>IF('Gestion des Equipements'!$T10=1,"X"," ")</f>
        <v> </v>
      </c>
      <c r="M9" s="49" t="str">
        <f t="shared" si="0"/>
        <v> </v>
      </c>
      <c r="N9" s="49" t="str">
        <f t="shared" si="1"/>
        <v> </v>
      </c>
    </row>
    <row r="10" spans="1:14" ht="12.75">
      <c r="A10" s="47">
        <v>106</v>
      </c>
      <c r="B10" s="168" t="s">
        <v>11</v>
      </c>
      <c r="C10" s="176"/>
      <c r="D10" s="176"/>
      <c r="E10" s="176"/>
      <c r="F10" s="176"/>
      <c r="G10" s="176"/>
      <c r="H10" s="177"/>
      <c r="I10" s="62">
        <f>IF('Gestion des Equipements'!$Q11=1,1,IF('Gestion des Equipements'!$Q11=2,0.7,IF('Gestion des Equipements'!$Q11=3,0.3,IF('Gestion des Equipements'!$Q11=4,0,IF('Gestion des Equipements'!$Q11=5,0.5,"Pas de réponse !")))))</f>
        <v>0.5</v>
      </c>
      <c r="J10" s="61" t="s">
        <v>136</v>
      </c>
      <c r="K10" s="58" t="str">
        <f>IF('Gestion des Equipements'!S11=1,"X"," ")</f>
        <v> </v>
      </c>
      <c r="L10" s="58" t="str">
        <f>IF('Gestion des Equipements'!$T11=1,"X"," ")</f>
        <v> </v>
      </c>
      <c r="M10" s="49" t="str">
        <f t="shared" si="0"/>
        <v> </v>
      </c>
      <c r="N10" s="49" t="str">
        <f t="shared" si="1"/>
        <v> </v>
      </c>
    </row>
    <row r="11" spans="1:14" ht="12.75">
      <c r="A11" s="47">
        <v>107</v>
      </c>
      <c r="B11" s="168" t="s">
        <v>12</v>
      </c>
      <c r="C11" s="176"/>
      <c r="D11" s="176"/>
      <c r="E11" s="176"/>
      <c r="F11" s="176"/>
      <c r="G11" s="176"/>
      <c r="H11" s="177"/>
      <c r="I11" s="62">
        <f>IF('Gestion des Equipements'!$Q12=1,1,IF('Gestion des Equipements'!$Q12=2,0.7,IF('Gestion des Equipements'!$Q12=3,0.3,IF('Gestion des Equipements'!$Q12=4,0,IF('Gestion des Equipements'!$Q12=5,0.5,"Pas de réponse !")))))</f>
        <v>0.5</v>
      </c>
      <c r="J11" s="61" t="s">
        <v>136</v>
      </c>
      <c r="K11" s="58" t="str">
        <f>IF('Gestion des Equipements'!S12=1,"X"," ")</f>
        <v> </v>
      </c>
      <c r="L11" s="58" t="str">
        <f>IF('Gestion des Equipements'!$T12=1,"X"," ")</f>
        <v> </v>
      </c>
      <c r="M11" s="49" t="str">
        <f t="shared" si="0"/>
        <v> </v>
      </c>
      <c r="N11" s="49" t="str">
        <f t="shared" si="1"/>
        <v> </v>
      </c>
    </row>
    <row r="12" spans="1:14" ht="12.75">
      <c r="A12" s="47">
        <v>108</v>
      </c>
      <c r="B12" s="168" t="s">
        <v>13</v>
      </c>
      <c r="C12" s="176"/>
      <c r="D12" s="176"/>
      <c r="E12" s="176"/>
      <c r="F12" s="176"/>
      <c r="G12" s="176"/>
      <c r="H12" s="177"/>
      <c r="I12" s="62">
        <f>IF('Gestion des Equipements'!$Q13=1,1,IF('Gestion des Equipements'!$Q13=2,0.7,IF('Gestion des Equipements'!$Q13=3,0.3,IF('Gestion des Equipements'!$Q13=4,0,IF('Gestion des Equipements'!$Q13=5,0.5,"Pas de réponse !")))))</f>
        <v>0.5</v>
      </c>
      <c r="J12" s="61" t="s">
        <v>136</v>
      </c>
      <c r="K12" s="58" t="str">
        <f>IF('Gestion des Equipements'!S13=1,"X"," ")</f>
        <v> </v>
      </c>
      <c r="L12" s="58" t="str">
        <f>IF('Gestion des Equipements'!$T13=1,"X"," ")</f>
        <v> </v>
      </c>
      <c r="M12" s="49" t="str">
        <f t="shared" si="0"/>
        <v> </v>
      </c>
      <c r="N12" s="49" t="str">
        <f t="shared" si="1"/>
        <v> </v>
      </c>
    </row>
    <row r="13" spans="1:14" ht="12.75">
      <c r="A13" s="47">
        <v>109</v>
      </c>
      <c r="B13" s="168" t="s">
        <v>14</v>
      </c>
      <c r="C13" s="176"/>
      <c r="D13" s="176"/>
      <c r="E13" s="176"/>
      <c r="F13" s="176"/>
      <c r="G13" s="176"/>
      <c r="H13" s="177"/>
      <c r="I13" s="62">
        <f>IF('Gestion des Equipements'!$Q14=1,1,IF('Gestion des Equipements'!$Q14=2,0.7,IF('Gestion des Equipements'!$Q14=3,0.3,IF('Gestion des Equipements'!$Q14=4,0,IF('Gestion des Equipements'!$Q14=5,0.5,"Pas de réponse !")))))</f>
        <v>0.5</v>
      </c>
      <c r="J13" s="61" t="s">
        <v>136</v>
      </c>
      <c r="K13" s="58" t="str">
        <f>IF('Gestion des Equipements'!S14=1,"X"," ")</f>
        <v> </v>
      </c>
      <c r="L13" s="58" t="str">
        <f>IF('Gestion des Equipements'!$T14=1,"X"," ")</f>
        <v> </v>
      </c>
      <c r="M13" s="49" t="str">
        <f t="shared" si="0"/>
        <v> </v>
      </c>
      <c r="N13" s="49" t="str">
        <f t="shared" si="1"/>
        <v> </v>
      </c>
    </row>
    <row r="14" spans="1:14" ht="12.75">
      <c r="A14" s="47">
        <v>110</v>
      </c>
      <c r="B14" s="168" t="s">
        <v>15</v>
      </c>
      <c r="C14" s="176"/>
      <c r="D14" s="176"/>
      <c r="E14" s="176"/>
      <c r="F14" s="176"/>
      <c r="G14" s="176"/>
      <c r="H14" s="177"/>
      <c r="I14" s="62">
        <f>IF('Gestion des Equipements'!$Q15=1,1,IF('Gestion des Equipements'!$Q15=2,0.7,IF('Gestion des Equipements'!$Q15=3,0.3,IF('Gestion des Equipements'!$Q15=4,0,IF('Gestion des Equipements'!$Q15=5,0.5,"Pas de réponse !")))))</f>
        <v>0.5</v>
      </c>
      <c r="J14" s="61" t="s">
        <v>136</v>
      </c>
      <c r="K14" s="58" t="str">
        <f>IF('Gestion des Equipements'!S15=1,"X"," ")</f>
        <v> </v>
      </c>
      <c r="L14" s="58" t="str">
        <f>IF('Gestion des Equipements'!$T15=1,"X"," ")</f>
        <v> </v>
      </c>
      <c r="M14" s="49" t="str">
        <f t="shared" si="0"/>
        <v> </v>
      </c>
      <c r="N14" s="49" t="str">
        <f t="shared" si="1"/>
        <v> </v>
      </c>
    </row>
    <row r="15" spans="1:14" ht="12.75">
      <c r="A15" s="47">
        <v>111</v>
      </c>
      <c r="B15" s="168" t="s">
        <v>16</v>
      </c>
      <c r="C15" s="176"/>
      <c r="D15" s="176"/>
      <c r="E15" s="176"/>
      <c r="F15" s="176"/>
      <c r="G15" s="176"/>
      <c r="H15" s="177"/>
      <c r="I15" s="62">
        <f>IF('Gestion des Equipements'!$Q16=1,1,IF('Gestion des Equipements'!$Q16=2,0.7,IF('Gestion des Equipements'!$Q16=3,0.3,IF('Gestion des Equipements'!$Q16=4,0,IF('Gestion des Equipements'!$Q16=5,0.5,"Pas de réponse !")))))</f>
        <v>0.5</v>
      </c>
      <c r="J15" s="61" t="s">
        <v>136</v>
      </c>
      <c r="K15" s="58" t="str">
        <f>IF('Gestion des Equipements'!S16=1,"X"," ")</f>
        <v> </v>
      </c>
      <c r="L15" s="58" t="str">
        <f>IF('Gestion des Equipements'!$T16=1,"X"," ")</f>
        <v> </v>
      </c>
      <c r="M15" s="49" t="str">
        <f t="shared" si="0"/>
        <v> </v>
      </c>
      <c r="N15" s="49" t="str">
        <f t="shared" si="1"/>
        <v> </v>
      </c>
    </row>
    <row r="16" spans="1:14" ht="12.75">
      <c r="A16" s="47">
        <v>112</v>
      </c>
      <c r="B16" s="168" t="s">
        <v>17</v>
      </c>
      <c r="C16" s="176"/>
      <c r="D16" s="176"/>
      <c r="E16" s="176"/>
      <c r="F16" s="176"/>
      <c r="G16" s="176"/>
      <c r="H16" s="177"/>
      <c r="I16" s="62">
        <f>IF('Gestion des Equipements'!$Q17=1,1,IF('Gestion des Equipements'!$Q17=2,0.7,IF('Gestion des Equipements'!$Q17=3,0.3,IF('Gestion des Equipements'!$Q17=4,0,IF('Gestion des Equipements'!$Q17=5,0.5,"Pas de réponse !")))))</f>
        <v>0.5</v>
      </c>
      <c r="J16" s="61" t="s">
        <v>136</v>
      </c>
      <c r="K16" s="58" t="str">
        <f>IF('Gestion des Equipements'!S17=1,"X"," ")</f>
        <v> </v>
      </c>
      <c r="L16" s="58" t="str">
        <f>IF('Gestion des Equipements'!$T17=1,"X"," ")</f>
        <v> </v>
      </c>
      <c r="M16" s="49" t="str">
        <f t="shared" si="0"/>
        <v> </v>
      </c>
      <c r="N16" s="49" t="str">
        <f t="shared" si="1"/>
        <v> </v>
      </c>
    </row>
    <row r="17" spans="1:14" ht="12.75">
      <c r="A17" s="47">
        <v>113</v>
      </c>
      <c r="B17" s="168" t="s">
        <v>18</v>
      </c>
      <c r="C17" s="176"/>
      <c r="D17" s="176"/>
      <c r="E17" s="176"/>
      <c r="F17" s="176"/>
      <c r="G17" s="176"/>
      <c r="H17" s="177"/>
      <c r="I17" s="62">
        <f>IF('Gestion des Equipements'!$Q18=1,1,IF('Gestion des Equipements'!$Q18=2,0.7,IF('Gestion des Equipements'!$Q18=3,0.3,IF('Gestion des Equipements'!$Q18=4,0,IF('Gestion des Equipements'!$Q18=5,0.5,"Pas de réponse !")))))</f>
        <v>0.5</v>
      </c>
      <c r="J17" s="61" t="s">
        <v>136</v>
      </c>
      <c r="K17" s="58" t="str">
        <f>IF('Gestion des Equipements'!S18=1,"X"," ")</f>
        <v> </v>
      </c>
      <c r="L17" s="58" t="str">
        <f>IF('Gestion des Equipements'!$T18=1,"X"," ")</f>
        <v> </v>
      </c>
      <c r="M17" s="49" t="str">
        <f t="shared" si="0"/>
        <v> </v>
      </c>
      <c r="N17" s="49" t="str">
        <f t="shared" si="1"/>
        <v> </v>
      </c>
    </row>
    <row r="18" spans="1:14" ht="12.75">
      <c r="A18" s="47">
        <v>114</v>
      </c>
      <c r="B18" s="168" t="s">
        <v>19</v>
      </c>
      <c r="C18" s="176"/>
      <c r="D18" s="176"/>
      <c r="E18" s="176"/>
      <c r="F18" s="176"/>
      <c r="G18" s="176"/>
      <c r="H18" s="177"/>
      <c r="I18" s="62">
        <f>IF('Gestion des Equipements'!$Q19=1,1,IF('Gestion des Equipements'!$Q19=2,0.7,IF('Gestion des Equipements'!$Q19=3,0.3,IF('Gestion des Equipements'!$Q19=4,0,IF('Gestion des Equipements'!$Q19=5,0.5,"Pas de réponse !")))))</f>
        <v>0.5</v>
      </c>
      <c r="J18" s="61" t="s">
        <v>136</v>
      </c>
      <c r="K18" s="58" t="str">
        <f>IF('Gestion des Equipements'!S19=1,"X"," ")</f>
        <v> </v>
      </c>
      <c r="L18" s="58" t="str">
        <f>IF('Gestion des Equipements'!$T19=1,"X"," ")</f>
        <v> </v>
      </c>
      <c r="M18" s="49" t="str">
        <f t="shared" si="0"/>
        <v> </v>
      </c>
      <c r="N18" s="49" t="str">
        <f t="shared" si="1"/>
        <v> </v>
      </c>
    </row>
    <row r="19" spans="1:14" ht="12.75">
      <c r="A19" s="47">
        <v>115</v>
      </c>
      <c r="B19" s="168" t="s">
        <v>20</v>
      </c>
      <c r="C19" s="176"/>
      <c r="D19" s="176"/>
      <c r="E19" s="176"/>
      <c r="F19" s="176"/>
      <c r="G19" s="181"/>
      <c r="H19" s="177"/>
      <c r="I19" s="63">
        <f>IF('Gestion des Equipements'!$Q20=1,1,IF('Gestion des Equipements'!$Q20=2,0.7,IF('Gestion des Equipements'!$Q20=3,0.3,IF('Gestion des Equipements'!$Q20=4,0,IF('Gestion des Equipements'!$Q20=5,0.5,"Pas de réponse !")))))</f>
        <v>0.5</v>
      </c>
      <c r="J19" s="61" t="s">
        <v>136</v>
      </c>
      <c r="K19" s="58" t="str">
        <f>IF('Gestion des Equipements'!S20=1,"X"," ")</f>
        <v> </v>
      </c>
      <c r="L19" s="58" t="str">
        <f>IF('Gestion des Equipements'!$T20=1,"X"," ")</f>
        <v> </v>
      </c>
      <c r="M19" s="49" t="str">
        <f t="shared" si="0"/>
        <v> </v>
      </c>
      <c r="N19" s="49" t="str">
        <f t="shared" si="1"/>
        <v> </v>
      </c>
    </row>
    <row r="20" spans="1:14" ht="15" customHeight="1">
      <c r="A20" s="74" t="s">
        <v>141</v>
      </c>
      <c r="B20" s="88" t="str">
        <f>IF($G$20=1,"X"," ")</f>
        <v> </v>
      </c>
      <c r="C20" s="89" t="str">
        <f>IF($G$20=2,"X"," ")</f>
        <v> </v>
      </c>
      <c r="D20" s="90" t="str">
        <f>IF($G$20=3,"X"," ")</f>
        <v> </v>
      </c>
      <c r="E20" s="91" t="str">
        <f>IF($G$20=4,"X"," ")</f>
        <v> </v>
      </c>
      <c r="F20" s="75" t="s">
        <v>142</v>
      </c>
      <c r="G20" s="79" t="str">
        <f>IF($I20=0,"~",IF($K20="OUI","~",IF($I20&lt;=6,4,IF($I20&lt;=11.3,3,IF($I20&lt;=13,2,IF($I20&gt;13,1," "))))))</f>
        <v>~</v>
      </c>
      <c r="H20" s="64"/>
      <c r="I20" s="84">
        <f>IF('Gestion des Equipements'!R21&gt;11,0,SUM(I5:I19))</f>
        <v>0</v>
      </c>
      <c r="J20" s="85" t="s">
        <v>135</v>
      </c>
      <c r="K20" s="82" t="str">
        <f>IF('Gestion des Equipements'!$R21&gt;11," ",IF(M20&gt;0,"OUI","NON"))</f>
        <v> </v>
      </c>
      <c r="L20" s="82" t="str">
        <f>IF('Gestion des Equipements'!$R21&gt;11," ",IF(N20&gt;2,"OUI","NON"))</f>
        <v> </v>
      </c>
      <c r="M20" s="58">
        <f>COUNT(M5:M19)</f>
        <v>0</v>
      </c>
      <c r="N20" s="58">
        <f>COUNT(N5:N19)</f>
        <v>0</v>
      </c>
    </row>
    <row r="21" spans="1:14" ht="15" customHeight="1">
      <c r="A21" s="146" t="s">
        <v>137</v>
      </c>
      <c r="B21" s="147"/>
      <c r="C21" s="65"/>
      <c r="D21" s="66"/>
      <c r="E21" s="66"/>
      <c r="F21" s="67"/>
      <c r="G21" s="68"/>
      <c r="H21" s="65"/>
      <c r="I21" s="69"/>
      <c r="J21" s="70"/>
      <c r="K21" s="71"/>
      <c r="L21" s="72"/>
      <c r="M21" s="73"/>
      <c r="N21" s="73"/>
    </row>
    <row r="22" spans="1:12" ht="19.5" customHeight="1">
      <c r="A22" s="189" t="str">
        <f>IF('Gestion des Equipements'!$R21&gt;11," ",IF(K20="OUI","Travaillez avant tout sur les points éliminatoires de 1er niveau ! Un effort certain est à fournir...",IF(L20="OUI","Travaillez sur les points éliminatoires de 2e niveau ! Un effort modéré est à fournir pour un gain important...","Maintenez votre niveau et travaillez sur vos points faibles restant !")))</f>
        <v> </v>
      </c>
      <c r="B22" s="190"/>
      <c r="C22" s="190"/>
      <c r="D22" s="190"/>
      <c r="E22" s="190"/>
      <c r="F22" s="190"/>
      <c r="G22" s="190"/>
      <c r="H22" s="191"/>
      <c r="I22" s="192"/>
      <c r="J22" s="192"/>
      <c r="K22" s="192"/>
      <c r="L22" s="193"/>
    </row>
    <row r="23" spans="1:12" ht="19.5" customHeight="1">
      <c r="A23" s="153" t="str">
        <f>IF('Gestion des Equipements'!$R21&gt;11,"Il y a trop de réponses Sans objet : l'item n'est probablement pas maîtrisé ou inapplicable !",IF(Résultats!K20="OUI","Votre note ne reflète pas votre maîtrise tant qu'il reste des points éliminatoires de premier niveau !"," "))</f>
        <v>Il y a trop de réponses Sans objet : l'item n'est probablement pas maîtrisé ou inapplicable !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3" ht="15.7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1"/>
      <c r="L24" s="103"/>
      <c r="M24" s="36"/>
    </row>
    <row r="25" spans="1:12" ht="12.75">
      <c r="A25" s="100"/>
      <c r="B25" s="100"/>
      <c r="C25" s="100"/>
      <c r="D25" s="100"/>
      <c r="E25" s="100"/>
      <c r="F25" s="100"/>
      <c r="G25" s="100"/>
      <c r="H25" s="100"/>
      <c r="I25" s="101"/>
      <c r="J25" s="100"/>
      <c r="K25" s="101"/>
      <c r="L25" s="100"/>
    </row>
    <row r="26" spans="1:12" ht="12.75">
      <c r="A26" s="4"/>
      <c r="B26" s="162" t="s">
        <v>122</v>
      </c>
      <c r="C26" s="163"/>
      <c r="D26" s="163"/>
      <c r="E26" s="163"/>
      <c r="F26" s="163"/>
      <c r="G26" s="163"/>
      <c r="H26" s="164"/>
      <c r="I26" s="156" t="s">
        <v>134</v>
      </c>
      <c r="J26" s="157"/>
      <c r="K26" s="160" t="s">
        <v>133</v>
      </c>
      <c r="L26" s="161"/>
    </row>
    <row r="27" spans="1:14" ht="12.75">
      <c r="A27" s="4"/>
      <c r="B27" s="165"/>
      <c r="C27" s="166"/>
      <c r="D27" s="166"/>
      <c r="E27" s="166"/>
      <c r="F27" s="166"/>
      <c r="G27" s="166"/>
      <c r="H27" s="167"/>
      <c r="I27" s="182"/>
      <c r="J27" s="183"/>
      <c r="K27" s="60" t="s">
        <v>140</v>
      </c>
      <c r="L27" s="60" t="s">
        <v>144</v>
      </c>
      <c r="M27" s="13" t="s">
        <v>139</v>
      </c>
      <c r="N27" s="13" t="s">
        <v>147</v>
      </c>
    </row>
    <row r="28" spans="1:14" ht="12.75">
      <c r="A28" s="48">
        <v>201</v>
      </c>
      <c r="B28" s="168" t="s">
        <v>22</v>
      </c>
      <c r="C28" s="176"/>
      <c r="D28" s="176"/>
      <c r="E28" s="176"/>
      <c r="F28" s="176"/>
      <c r="G28" s="176"/>
      <c r="H28" s="177"/>
      <c r="I28" s="62">
        <f>IF('Maintenance 1er niveau'!$Q7=1,1,IF('Maintenance 1er niveau'!$Q7=2,0.7,IF('Maintenance 1er niveau'!$Q7=3,0.3,IF('Maintenance 1er niveau'!$Q7=4,0,IF('Maintenance 1er niveau'!$Q7=5,0.5,"Pas de réponse !")))))</f>
        <v>0.5</v>
      </c>
      <c r="J28" s="61" t="s">
        <v>136</v>
      </c>
      <c r="K28" s="77" t="str">
        <f>IF('Maintenance 1er niveau'!S7=1,"X"," ")</f>
        <v> </v>
      </c>
      <c r="L28" s="58" t="str">
        <f>IF('Maintenance 1er niveau'!T7=1,"X"," ")</f>
        <v> </v>
      </c>
      <c r="M28" s="49" t="str">
        <f>IF(K28="X",1," ")</f>
        <v> </v>
      </c>
      <c r="N28" s="49" t="str">
        <f>IF(L28="X",1," ")</f>
        <v> </v>
      </c>
    </row>
    <row r="29" spans="1:14" ht="12.75">
      <c r="A29" s="48">
        <v>202</v>
      </c>
      <c r="B29" s="168" t="s">
        <v>23</v>
      </c>
      <c r="C29" s="176"/>
      <c r="D29" s="176"/>
      <c r="E29" s="176"/>
      <c r="F29" s="176"/>
      <c r="G29" s="176"/>
      <c r="H29" s="177"/>
      <c r="I29" s="62">
        <f>IF('Maintenance 1er niveau'!$Q8=1,1,IF('Maintenance 1er niveau'!$Q8=2,0.7,IF('Maintenance 1er niveau'!$Q8=3,0.3,IF('Maintenance 1er niveau'!$Q8=4,0,IF('Maintenance 1er niveau'!$Q8=5,0.5,"Pas de réponse !")))))</f>
        <v>0.5</v>
      </c>
      <c r="J29" s="61" t="s">
        <v>136</v>
      </c>
      <c r="K29" s="77" t="str">
        <f>IF('Maintenance 1er niveau'!S8=1,"X"," ")</f>
        <v> </v>
      </c>
      <c r="L29" s="58" t="str">
        <f>IF('Maintenance 1er niveau'!T8=1,"X"," ")</f>
        <v> </v>
      </c>
      <c r="M29" s="49" t="str">
        <f aca="true" t="shared" si="2" ref="M29:M35">IF(K29="X",1," ")</f>
        <v> </v>
      </c>
      <c r="N29" s="49" t="str">
        <f aca="true" t="shared" si="3" ref="N29:N35">IF(L29="X",1," ")</f>
        <v> </v>
      </c>
    </row>
    <row r="30" spans="1:14" ht="12.75">
      <c r="A30" s="48">
        <v>203</v>
      </c>
      <c r="B30" s="168" t="s">
        <v>24</v>
      </c>
      <c r="C30" s="176"/>
      <c r="D30" s="176"/>
      <c r="E30" s="176"/>
      <c r="F30" s="176"/>
      <c r="G30" s="176"/>
      <c r="H30" s="177"/>
      <c r="I30" s="62">
        <f>IF('Maintenance 1er niveau'!$Q9=1,1,IF('Maintenance 1er niveau'!$Q9=2,0.7,IF('Maintenance 1er niveau'!$Q9=3,0.3,IF('Maintenance 1er niveau'!$Q9=4,0,IF('Maintenance 1er niveau'!$Q9=5,0.5,"Pas de réponse !")))))</f>
        <v>0.5</v>
      </c>
      <c r="J30" s="61" t="s">
        <v>136</v>
      </c>
      <c r="K30" s="77" t="str">
        <f>IF('Maintenance 1er niveau'!S9=1,"X"," ")</f>
        <v> </v>
      </c>
      <c r="L30" s="58" t="str">
        <f>IF('Maintenance 1er niveau'!T9=1,"X"," ")</f>
        <v> </v>
      </c>
      <c r="M30" s="49" t="str">
        <f t="shared" si="2"/>
        <v> </v>
      </c>
      <c r="N30" s="49" t="str">
        <f t="shared" si="3"/>
        <v> </v>
      </c>
    </row>
    <row r="31" spans="1:14" ht="12.75">
      <c r="A31" s="48">
        <v>204</v>
      </c>
      <c r="B31" s="168" t="s">
        <v>25</v>
      </c>
      <c r="C31" s="176"/>
      <c r="D31" s="176"/>
      <c r="E31" s="176"/>
      <c r="F31" s="176"/>
      <c r="G31" s="176"/>
      <c r="H31" s="177"/>
      <c r="I31" s="62">
        <f>IF('Maintenance 1er niveau'!$Q10=1,1,IF('Maintenance 1er niveau'!$Q10=2,0.7,IF('Maintenance 1er niveau'!$Q10=3,0.3,IF('Maintenance 1er niveau'!$Q10=4,0,IF('Maintenance 1er niveau'!$Q10=5,0.5,"Pas de réponse !")))))</f>
        <v>0.5</v>
      </c>
      <c r="J31" s="61" t="s">
        <v>136</v>
      </c>
      <c r="K31" s="77" t="str">
        <f>IF('Maintenance 1er niveau'!S10=1,"X"," ")</f>
        <v> </v>
      </c>
      <c r="L31" s="58" t="str">
        <f>IF('Maintenance 1er niveau'!T10=1,"X"," ")</f>
        <v> </v>
      </c>
      <c r="M31" s="49" t="str">
        <f t="shared" si="2"/>
        <v> </v>
      </c>
      <c r="N31" s="49" t="str">
        <f t="shared" si="3"/>
        <v> </v>
      </c>
    </row>
    <row r="32" spans="1:14" ht="12.75">
      <c r="A32" s="48">
        <v>205</v>
      </c>
      <c r="B32" s="168" t="s">
        <v>26</v>
      </c>
      <c r="C32" s="176"/>
      <c r="D32" s="176"/>
      <c r="E32" s="176"/>
      <c r="F32" s="176"/>
      <c r="G32" s="176"/>
      <c r="H32" s="177"/>
      <c r="I32" s="62">
        <f>IF('Maintenance 1er niveau'!$Q11=1,1,IF('Maintenance 1er niveau'!$Q11=2,0.7,IF('Maintenance 1er niveau'!$Q11=3,0.3,IF('Maintenance 1er niveau'!$Q11=4,0,IF('Maintenance 1er niveau'!$Q11=5,0.5,"Pas de réponse !")))))</f>
        <v>0.5</v>
      </c>
      <c r="J32" s="61" t="s">
        <v>136</v>
      </c>
      <c r="K32" s="77" t="str">
        <f>IF('Maintenance 1er niveau'!S11=1,"X"," ")</f>
        <v> </v>
      </c>
      <c r="L32" s="58" t="str">
        <f>IF('Maintenance 1er niveau'!T11=1,"X"," ")</f>
        <v> </v>
      </c>
      <c r="M32" s="49" t="str">
        <f t="shared" si="2"/>
        <v> </v>
      </c>
      <c r="N32" s="49" t="str">
        <f t="shared" si="3"/>
        <v> </v>
      </c>
    </row>
    <row r="33" spans="1:14" ht="12.75">
      <c r="A33" s="48">
        <v>206</v>
      </c>
      <c r="B33" s="168" t="s">
        <v>27</v>
      </c>
      <c r="C33" s="176"/>
      <c r="D33" s="176"/>
      <c r="E33" s="176"/>
      <c r="F33" s="176"/>
      <c r="G33" s="176"/>
      <c r="H33" s="177"/>
      <c r="I33" s="62">
        <f>IF('Maintenance 1er niveau'!$Q12=1,1,IF('Maintenance 1er niveau'!$Q12=2,0.7,IF('Maintenance 1er niveau'!$Q12=3,0.3,IF('Maintenance 1er niveau'!$Q12=4,0,IF('Maintenance 1er niveau'!$Q12=5,0.5,"Pas de réponse !")))))</f>
        <v>0.5</v>
      </c>
      <c r="J33" s="61" t="s">
        <v>136</v>
      </c>
      <c r="K33" s="77" t="str">
        <f>IF('Maintenance 1er niveau'!S12=1,"X"," ")</f>
        <v> </v>
      </c>
      <c r="L33" s="58" t="str">
        <f>IF('Maintenance 1er niveau'!T12=1,"X"," ")</f>
        <v> </v>
      </c>
      <c r="M33" s="49" t="str">
        <f t="shared" si="2"/>
        <v> </v>
      </c>
      <c r="N33" s="49" t="str">
        <f t="shared" si="3"/>
        <v> </v>
      </c>
    </row>
    <row r="34" spans="1:14" ht="12.75">
      <c r="A34" s="48">
        <v>207</v>
      </c>
      <c r="B34" s="168" t="s">
        <v>28</v>
      </c>
      <c r="C34" s="176"/>
      <c r="D34" s="176"/>
      <c r="E34" s="176"/>
      <c r="F34" s="176"/>
      <c r="G34" s="176"/>
      <c r="H34" s="177"/>
      <c r="I34" s="62">
        <f>IF('Maintenance 1er niveau'!$Q13=1,1,IF('Maintenance 1er niveau'!$Q13=2,0.7,IF('Maintenance 1er niveau'!$Q13=3,0.3,IF('Maintenance 1er niveau'!$Q13=4,0,IF('Maintenance 1er niveau'!$Q13=5,0.5,"Pas de réponse !")))))</f>
        <v>0.5</v>
      </c>
      <c r="J34" s="61" t="s">
        <v>136</v>
      </c>
      <c r="K34" s="77" t="str">
        <f>IF('Maintenance 1er niveau'!S13=1,"X"," ")</f>
        <v> </v>
      </c>
      <c r="L34" s="58" t="str">
        <f>IF('Maintenance 1er niveau'!T13=1,"X"," ")</f>
        <v> </v>
      </c>
      <c r="M34" s="49" t="str">
        <f t="shared" si="2"/>
        <v> </v>
      </c>
      <c r="N34" s="49" t="str">
        <f t="shared" si="3"/>
        <v> </v>
      </c>
    </row>
    <row r="35" spans="1:14" ht="12.75">
      <c r="A35" s="48">
        <v>208</v>
      </c>
      <c r="B35" s="168" t="s">
        <v>29</v>
      </c>
      <c r="C35" s="176"/>
      <c r="D35" s="176"/>
      <c r="E35" s="176"/>
      <c r="F35" s="176"/>
      <c r="G35" s="176"/>
      <c r="H35" s="177"/>
      <c r="I35" s="62">
        <f>IF('Maintenance 1er niveau'!$Q14=1,1,IF('Maintenance 1er niveau'!$Q14=2,0.7,IF('Maintenance 1er niveau'!$Q14=3,0.3,IF('Maintenance 1er niveau'!$Q14=4,0,IF('Maintenance 1er niveau'!$Q14=5,0.5,"Pas de réponse !")))))</f>
        <v>0.5</v>
      </c>
      <c r="J35" s="61" t="s">
        <v>136</v>
      </c>
      <c r="K35" s="77" t="str">
        <f>IF('Maintenance 1er niveau'!S14=1,"X"," ")</f>
        <v> </v>
      </c>
      <c r="L35" s="58" t="str">
        <f>IF('Maintenance 1er niveau'!T14=1,"X"," ")</f>
        <v> </v>
      </c>
      <c r="M35" s="49" t="str">
        <f t="shared" si="2"/>
        <v> </v>
      </c>
      <c r="N35" s="49" t="str">
        <f t="shared" si="3"/>
        <v> </v>
      </c>
    </row>
    <row r="36" spans="1:14" ht="15">
      <c r="A36" s="74" t="s">
        <v>141</v>
      </c>
      <c r="B36" s="88" t="str">
        <f>IF($G36=1,"X"," ")</f>
        <v> </v>
      </c>
      <c r="C36" s="89" t="str">
        <f>IF($G36=2,"X"," ")</f>
        <v> </v>
      </c>
      <c r="D36" s="90" t="str">
        <f>IF($G36=3,"X"," ")</f>
        <v> </v>
      </c>
      <c r="E36" s="91" t="str">
        <f>IF($G36=4,"X"," ")</f>
        <v> </v>
      </c>
      <c r="F36" s="75" t="s">
        <v>142</v>
      </c>
      <c r="G36" s="79" t="str">
        <f>IF($I36=0,"~",IF($K36="OUI","~",IF($I36&lt;=1,4,IF($I36&lt;=2,3,IF($I36&lt;=5,2,IF($I36&gt;5,1," "))))))</f>
        <v>~</v>
      </c>
      <c r="H36" s="64"/>
      <c r="I36" s="80">
        <f>IF('Maintenance 1er niveau'!R15&gt;6,0,SUM(I28:I35))</f>
        <v>0</v>
      </c>
      <c r="J36" s="81" t="s">
        <v>143</v>
      </c>
      <c r="K36" s="82" t="str">
        <f>IF('Maintenance 1er niveau'!R15&gt;6," ",IF(M36&gt;0,"OUI","NON"))</f>
        <v> </v>
      </c>
      <c r="L36" s="82" t="str">
        <f>IF('Maintenance 1er niveau'!R15&gt;6," ",IF(N36&gt;2,"OUI","NON"))</f>
        <v> </v>
      </c>
      <c r="M36" s="58">
        <f>COUNT(M28:M35)</f>
        <v>0</v>
      </c>
      <c r="N36" s="58">
        <f>COUNT(N28:N35)</f>
        <v>0</v>
      </c>
    </row>
    <row r="37" spans="1:12" ht="12.75">
      <c r="A37" s="146" t="s">
        <v>137</v>
      </c>
      <c r="B37" s="147"/>
      <c r="C37" s="65"/>
      <c r="D37" s="66"/>
      <c r="E37" s="66"/>
      <c r="F37" s="67"/>
      <c r="G37" s="68"/>
      <c r="H37" s="65"/>
      <c r="I37" s="69"/>
      <c r="J37" s="70"/>
      <c r="K37" s="71"/>
      <c r="L37" s="72"/>
    </row>
    <row r="38" spans="1:12" ht="19.5" customHeight="1">
      <c r="A38" s="148" t="str">
        <f>IF('Maintenance 1er niveau'!R15&gt;6," ",IF(K36="OUI","Travaillez avant tout sur les points éliminatoires de 1er niveau ! Un effort certain est à fournir...",IF(L36="OUI","Travaillez sur les points éliminatoires de 2e niveau ! Un effort modéré est à fournir pour un gain important...","Maintenez votre niveau et travaillez sur vos points faibles restant !")))</f>
        <v> </v>
      </c>
      <c r="B38" s="149"/>
      <c r="C38" s="149"/>
      <c r="D38" s="149"/>
      <c r="E38" s="149"/>
      <c r="F38" s="149"/>
      <c r="G38" s="149"/>
      <c r="H38" s="150"/>
      <c r="I38" s="151"/>
      <c r="J38" s="151"/>
      <c r="K38" s="151"/>
      <c r="L38" s="152"/>
    </row>
    <row r="39" spans="1:12" ht="19.5" customHeight="1">
      <c r="A39" s="153" t="str">
        <f>IF('Maintenance 1er niveau'!R15&gt;6,"Il y a trop de réponses Sans objet : l'item n'est probablement pas maîtrisé ou inapplicable !",IF(Résultats!K36="OUI","Votre note ne reflète pas votre maîtrise tant qu'il reste des points éliminatoires de premier niveau !"," "))</f>
        <v>Il y a trop de réponses Sans objet : l'item n'est probablement pas maîtrisé ou inapplicable !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5"/>
    </row>
    <row r="40" spans="1:12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2" ht="12.7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2" ht="12.75">
      <c r="A42" s="4"/>
      <c r="B42" s="162" t="s">
        <v>123</v>
      </c>
      <c r="C42" s="184"/>
      <c r="D42" s="184"/>
      <c r="E42" s="184"/>
      <c r="F42" s="184"/>
      <c r="G42" s="184"/>
      <c r="H42" s="185"/>
      <c r="I42" s="156" t="s">
        <v>134</v>
      </c>
      <c r="J42" s="157"/>
      <c r="K42" s="160" t="s">
        <v>133</v>
      </c>
      <c r="L42" s="161"/>
    </row>
    <row r="43" spans="1:14" ht="12.75">
      <c r="A43" s="4"/>
      <c r="B43" s="186"/>
      <c r="C43" s="187"/>
      <c r="D43" s="187"/>
      <c r="E43" s="187"/>
      <c r="F43" s="187"/>
      <c r="G43" s="187"/>
      <c r="H43" s="188"/>
      <c r="I43" s="182"/>
      <c r="J43" s="183"/>
      <c r="K43" s="60" t="s">
        <v>140</v>
      </c>
      <c r="L43" s="60" t="s">
        <v>144</v>
      </c>
      <c r="M43" s="13" t="s">
        <v>139</v>
      </c>
      <c r="N43" s="13" t="s">
        <v>147</v>
      </c>
    </row>
    <row r="44" spans="1:14" ht="12.75">
      <c r="A44" s="47">
        <v>301</v>
      </c>
      <c r="B44" s="20" t="s">
        <v>32</v>
      </c>
      <c r="C44" s="20"/>
      <c r="D44" s="20"/>
      <c r="E44" s="20"/>
      <c r="F44" s="20"/>
      <c r="G44" s="20"/>
      <c r="H44" s="76"/>
      <c r="I44" s="87">
        <f>IF('Gestion stocks'!$Q7=1,1,IF('Gestion stocks'!$Q7=2,0.7,IF('Gestion stocks'!$Q7=3,0.3,IF('Gestion stocks'!$Q7=4,0,IF('Gestion stocks'!$Q7=5,0.5,"Pas de réponse !")))))</f>
        <v>0.5</v>
      </c>
      <c r="J44" s="61" t="s">
        <v>136</v>
      </c>
      <c r="K44" s="58" t="str">
        <f>IF('Gestion stocks'!S7=1,"X"," ")</f>
        <v> </v>
      </c>
      <c r="L44" s="58" t="str">
        <f>IF('Gestion stocks'!$T7=1,"X"," ")</f>
        <v> </v>
      </c>
      <c r="M44" s="49" t="str">
        <f>IF(K44="X",1," ")</f>
        <v> </v>
      </c>
      <c r="N44" s="49" t="str">
        <f>IF(L44="X",1," ")</f>
        <v> </v>
      </c>
    </row>
    <row r="45" spans="1:14" ht="12.75">
      <c r="A45" s="47">
        <v>302</v>
      </c>
      <c r="B45" s="20" t="s">
        <v>33</v>
      </c>
      <c r="C45" s="20"/>
      <c r="D45" s="20"/>
      <c r="E45" s="20"/>
      <c r="F45" s="20"/>
      <c r="G45" s="20"/>
      <c r="H45" s="76"/>
      <c r="I45" s="87">
        <f>IF('Gestion stocks'!$Q8=1,1,IF('Gestion stocks'!$Q8=2,0.7,IF('Gestion stocks'!$Q8=3,0.3,IF('Gestion stocks'!$Q8=4,0,IF('Gestion stocks'!$Q8=5,0.5,"Pas de réponse !")))))</f>
        <v>0.5</v>
      </c>
      <c r="J45" s="61" t="s">
        <v>136</v>
      </c>
      <c r="K45" s="58" t="str">
        <f>IF('Gestion stocks'!S8=1,"X"," ")</f>
        <v> </v>
      </c>
      <c r="L45" s="58" t="str">
        <f>IF('Gestion stocks'!$T8=1,"X"," ")</f>
        <v> </v>
      </c>
      <c r="M45" s="49" t="str">
        <f aca="true" t="shared" si="4" ref="M45:M57">IF(K45="X",1," ")</f>
        <v> </v>
      </c>
      <c r="N45" s="49" t="str">
        <f aca="true" t="shared" si="5" ref="N45:N57">IF(L45="X",1," ")</f>
        <v> </v>
      </c>
    </row>
    <row r="46" spans="1:14" ht="12.75">
      <c r="A46" s="47">
        <v>303</v>
      </c>
      <c r="B46" s="20" t="s">
        <v>34</v>
      </c>
      <c r="C46" s="20"/>
      <c r="D46" s="20"/>
      <c r="E46" s="20"/>
      <c r="F46" s="20"/>
      <c r="G46" s="20"/>
      <c r="H46" s="76"/>
      <c r="I46" s="87">
        <f>IF('Gestion stocks'!$Q9=1,1,IF('Gestion stocks'!$Q9=2,0.7,IF('Gestion stocks'!$Q9=3,0.3,IF('Gestion stocks'!$Q9=4,0,IF('Gestion stocks'!$Q9=5,0.5,"Pas de réponse !")))))</f>
        <v>0.5</v>
      </c>
      <c r="J46" s="61" t="s">
        <v>136</v>
      </c>
      <c r="K46" s="58" t="str">
        <f>IF('Gestion stocks'!S9=1,"X"," ")</f>
        <v> </v>
      </c>
      <c r="L46" s="58" t="str">
        <f>IF('Gestion stocks'!$T9=1,"X"," ")</f>
        <v> </v>
      </c>
      <c r="M46" s="49" t="str">
        <f t="shared" si="4"/>
        <v> </v>
      </c>
      <c r="N46" s="49" t="str">
        <f t="shared" si="5"/>
        <v> </v>
      </c>
    </row>
    <row r="47" spans="1:14" ht="12.75">
      <c r="A47" s="47">
        <v>304</v>
      </c>
      <c r="B47" s="20" t="s">
        <v>35</v>
      </c>
      <c r="C47" s="20"/>
      <c r="D47" s="20"/>
      <c r="E47" s="20"/>
      <c r="F47" s="20"/>
      <c r="G47" s="20"/>
      <c r="H47" s="76"/>
      <c r="I47" s="87">
        <f>IF('Gestion stocks'!$Q10=1,1,IF('Gestion stocks'!$Q10=2,0.7,IF('Gestion stocks'!$Q10=3,0.3,IF('Gestion stocks'!$Q10=4,0,IF('Gestion stocks'!$Q10=5,0.5,"Pas de réponse !")))))</f>
        <v>0.5</v>
      </c>
      <c r="J47" s="61" t="s">
        <v>136</v>
      </c>
      <c r="K47" s="58" t="str">
        <f>IF('Gestion stocks'!S10=1,"X"," ")</f>
        <v> </v>
      </c>
      <c r="L47" s="58" t="str">
        <f>IF('Gestion stocks'!$T10=1,"X"," ")</f>
        <v> </v>
      </c>
      <c r="M47" s="49" t="str">
        <f t="shared" si="4"/>
        <v> </v>
      </c>
      <c r="N47" s="49" t="str">
        <f t="shared" si="5"/>
        <v> </v>
      </c>
    </row>
    <row r="48" spans="1:14" ht="12.75">
      <c r="A48" s="47">
        <v>305</v>
      </c>
      <c r="B48" s="20" t="s">
        <v>36</v>
      </c>
      <c r="C48" s="20"/>
      <c r="D48" s="20"/>
      <c r="E48" s="20"/>
      <c r="F48" s="20"/>
      <c r="G48" s="20"/>
      <c r="H48" s="76"/>
      <c r="I48" s="87">
        <f>IF('Gestion stocks'!$Q11=1,1,IF('Gestion stocks'!$Q11=2,0.7,IF('Gestion stocks'!$Q11=3,0.3,IF('Gestion stocks'!$Q11=4,0,IF('Gestion stocks'!$Q11=5,0.5,"Pas de réponse !")))))</f>
        <v>0.5</v>
      </c>
      <c r="J48" s="61" t="s">
        <v>136</v>
      </c>
      <c r="K48" s="58" t="str">
        <f>IF('Gestion stocks'!S11=1,"X"," ")</f>
        <v> </v>
      </c>
      <c r="L48" s="58" t="str">
        <f>IF('Gestion stocks'!$T11=1,"X"," ")</f>
        <v> </v>
      </c>
      <c r="M48" s="49" t="str">
        <f t="shared" si="4"/>
        <v> </v>
      </c>
      <c r="N48" s="49" t="str">
        <f t="shared" si="5"/>
        <v> </v>
      </c>
    </row>
    <row r="49" spans="1:14" ht="12.75">
      <c r="A49" s="47">
        <v>306</v>
      </c>
      <c r="B49" s="20" t="s">
        <v>37</v>
      </c>
      <c r="C49" s="20"/>
      <c r="D49" s="20"/>
      <c r="E49" s="20"/>
      <c r="F49" s="20"/>
      <c r="G49" s="20"/>
      <c r="H49" s="76"/>
      <c r="I49" s="87">
        <f>IF('Gestion stocks'!$Q12=1,1,IF('Gestion stocks'!$Q12=2,0.7,IF('Gestion stocks'!$Q12=3,0.3,IF('Gestion stocks'!$Q12=4,0,IF('Gestion stocks'!$Q12=5,0.5,"Pas de réponse !")))))</f>
        <v>0.5</v>
      </c>
      <c r="J49" s="61" t="s">
        <v>136</v>
      </c>
      <c r="K49" s="58" t="str">
        <f>IF('Gestion stocks'!S12=1,"X"," ")</f>
        <v> </v>
      </c>
      <c r="L49" s="58" t="str">
        <f>IF('Gestion stocks'!$T12=1,"X"," ")</f>
        <v> </v>
      </c>
      <c r="M49" s="49" t="str">
        <f t="shared" si="4"/>
        <v> </v>
      </c>
      <c r="N49" s="49" t="str">
        <f t="shared" si="5"/>
        <v> </v>
      </c>
    </row>
    <row r="50" spans="1:14" ht="12.75">
      <c r="A50" s="47">
        <v>307</v>
      </c>
      <c r="B50" s="20" t="s">
        <v>38</v>
      </c>
      <c r="C50" s="20"/>
      <c r="D50" s="20"/>
      <c r="E50" s="20"/>
      <c r="F50" s="20"/>
      <c r="G50" s="20"/>
      <c r="H50" s="76"/>
      <c r="I50" s="87">
        <f>IF('Gestion stocks'!$Q13=1,1,IF('Gestion stocks'!$Q13=2,0.7,IF('Gestion stocks'!$Q13=3,0.3,IF('Gestion stocks'!$Q13=4,0,IF('Gestion stocks'!$Q13=5,0.5,"Pas de réponse !")))))</f>
        <v>0.5</v>
      </c>
      <c r="J50" s="61" t="s">
        <v>136</v>
      </c>
      <c r="K50" s="58" t="str">
        <f>IF('Gestion stocks'!S13=1,"X"," ")</f>
        <v> </v>
      </c>
      <c r="L50" s="58" t="str">
        <f>IF('Gestion stocks'!$T13=1,"X"," ")</f>
        <v> </v>
      </c>
      <c r="M50" s="49" t="str">
        <f t="shared" si="4"/>
        <v> </v>
      </c>
      <c r="N50" s="49" t="str">
        <f t="shared" si="5"/>
        <v> </v>
      </c>
    </row>
    <row r="51" spans="1:14" ht="12.75">
      <c r="A51" s="47">
        <v>308</v>
      </c>
      <c r="B51" s="20" t="s">
        <v>39</v>
      </c>
      <c r="C51" s="20"/>
      <c r="D51" s="20"/>
      <c r="E51" s="20"/>
      <c r="F51" s="20"/>
      <c r="G51" s="20"/>
      <c r="H51" s="76"/>
      <c r="I51" s="87">
        <f>IF('Gestion stocks'!$Q14=1,1,IF('Gestion stocks'!$Q14=2,0.7,IF('Gestion stocks'!$Q14=3,0.3,IF('Gestion stocks'!$Q14=4,0,IF('Gestion stocks'!$Q14=5,0.5,"Pas de réponse !")))))</f>
        <v>0.5</v>
      </c>
      <c r="J51" s="61" t="s">
        <v>136</v>
      </c>
      <c r="K51" s="58" t="str">
        <f>IF('Gestion stocks'!S14=1,"X"," ")</f>
        <v> </v>
      </c>
      <c r="L51" s="58" t="str">
        <f>IF('Gestion stocks'!$T14=1,"X"," ")</f>
        <v> </v>
      </c>
      <c r="M51" s="49" t="str">
        <f t="shared" si="4"/>
        <v> </v>
      </c>
      <c r="N51" s="49" t="str">
        <f t="shared" si="5"/>
        <v> </v>
      </c>
    </row>
    <row r="52" spans="1:14" ht="12.75">
      <c r="A52" s="47">
        <v>309</v>
      </c>
      <c r="B52" s="20" t="s">
        <v>40</v>
      </c>
      <c r="C52" s="20"/>
      <c r="D52" s="20"/>
      <c r="E52" s="20"/>
      <c r="F52" s="20"/>
      <c r="G52" s="20"/>
      <c r="H52" s="76"/>
      <c r="I52" s="87">
        <f>IF('Gestion stocks'!$Q15=1,1,IF('Gestion stocks'!$Q15=2,0.7,IF('Gestion stocks'!$Q15=3,0.3,IF('Gestion stocks'!$Q15=4,0,IF('Gestion stocks'!$Q15=5,0.5,"Pas de réponse !")))))</f>
        <v>0.5</v>
      </c>
      <c r="J52" s="61" t="s">
        <v>136</v>
      </c>
      <c r="K52" s="58" t="str">
        <f>IF('Gestion stocks'!S15=1,"X"," ")</f>
        <v> </v>
      </c>
      <c r="L52" s="58" t="str">
        <f>IF('Gestion stocks'!$T15=1,"X"," ")</f>
        <v> </v>
      </c>
      <c r="M52" s="49" t="str">
        <f t="shared" si="4"/>
        <v> </v>
      </c>
      <c r="N52" s="49" t="str">
        <f t="shared" si="5"/>
        <v> </v>
      </c>
    </row>
    <row r="53" spans="1:14" ht="12.75">
      <c r="A53" s="47">
        <v>310</v>
      </c>
      <c r="B53" s="20" t="s">
        <v>41</v>
      </c>
      <c r="C53" s="20"/>
      <c r="D53" s="20"/>
      <c r="E53" s="20"/>
      <c r="F53" s="20"/>
      <c r="G53" s="20"/>
      <c r="H53" s="76"/>
      <c r="I53" s="87">
        <f>IF('Gestion stocks'!$Q16=1,1,IF('Gestion stocks'!$Q16=2,0.7,IF('Gestion stocks'!$Q16=3,0.3,IF('Gestion stocks'!$Q16=4,0,IF('Gestion stocks'!$Q16=5,0.5,"Pas de réponse !")))))</f>
        <v>0.5</v>
      </c>
      <c r="J53" s="61" t="s">
        <v>136</v>
      </c>
      <c r="K53" s="58" t="str">
        <f>IF('Gestion stocks'!S16=1,"X"," ")</f>
        <v> </v>
      </c>
      <c r="L53" s="58" t="str">
        <f>IF('Gestion stocks'!$T16=1,"X"," ")</f>
        <v> </v>
      </c>
      <c r="M53" s="49" t="str">
        <f t="shared" si="4"/>
        <v> </v>
      </c>
      <c r="N53" s="49" t="str">
        <f t="shared" si="5"/>
        <v> </v>
      </c>
    </row>
    <row r="54" spans="1:14" ht="12.75">
      <c r="A54" s="47">
        <v>311</v>
      </c>
      <c r="B54" s="20" t="s">
        <v>42</v>
      </c>
      <c r="C54" s="20"/>
      <c r="D54" s="20"/>
      <c r="E54" s="20"/>
      <c r="F54" s="20"/>
      <c r="G54" s="20"/>
      <c r="H54" s="76"/>
      <c r="I54" s="87">
        <f>IF('Gestion stocks'!$Q17=1,1,IF('Gestion stocks'!$Q17=2,0.7,IF('Gestion stocks'!$Q17=3,0.3,IF('Gestion stocks'!$Q17=4,0,IF('Gestion stocks'!$Q17=5,0.5,"Pas de réponse !")))))</f>
        <v>0.5</v>
      </c>
      <c r="J54" s="61" t="s">
        <v>136</v>
      </c>
      <c r="K54" s="58" t="str">
        <f>IF('Gestion stocks'!S17=1,"X"," ")</f>
        <v> </v>
      </c>
      <c r="L54" s="58" t="str">
        <f>IF('Gestion stocks'!$T17=1,"X"," ")</f>
        <v> </v>
      </c>
      <c r="M54" s="49" t="str">
        <f t="shared" si="4"/>
        <v> </v>
      </c>
      <c r="N54" s="49" t="str">
        <f t="shared" si="5"/>
        <v> </v>
      </c>
    </row>
    <row r="55" spans="1:14" ht="12.75">
      <c r="A55" s="47">
        <v>312</v>
      </c>
      <c r="B55" s="20" t="s">
        <v>43</v>
      </c>
      <c r="C55" s="20"/>
      <c r="D55" s="20"/>
      <c r="E55" s="20"/>
      <c r="F55" s="20"/>
      <c r="G55" s="20"/>
      <c r="H55" s="76"/>
      <c r="I55" s="87">
        <f>IF('Gestion stocks'!$Q18=1,1,IF('Gestion stocks'!$Q18=2,0.7,IF('Gestion stocks'!$Q18=3,0.3,IF('Gestion stocks'!$Q18=4,0,IF('Gestion stocks'!$Q18=5,0.5,"Pas de réponse !")))))</f>
        <v>0.5</v>
      </c>
      <c r="J55" s="61" t="s">
        <v>136</v>
      </c>
      <c r="K55" s="58" t="str">
        <f>IF('Gestion stocks'!S18=1,"X"," ")</f>
        <v> </v>
      </c>
      <c r="L55" s="58" t="str">
        <f>IF('Gestion stocks'!$T18=1,"X"," ")</f>
        <v> </v>
      </c>
      <c r="M55" s="49" t="str">
        <f t="shared" si="4"/>
        <v> </v>
      </c>
      <c r="N55" s="49" t="str">
        <f t="shared" si="5"/>
        <v> </v>
      </c>
    </row>
    <row r="56" spans="1:14" ht="12.75">
      <c r="A56" s="47">
        <v>313</v>
      </c>
      <c r="B56" s="20" t="s">
        <v>44</v>
      </c>
      <c r="C56" s="20"/>
      <c r="D56" s="20"/>
      <c r="E56" s="20"/>
      <c r="F56" s="20"/>
      <c r="G56" s="20"/>
      <c r="H56" s="76"/>
      <c r="I56" s="87">
        <f>IF('Gestion stocks'!$Q19=1,1,IF('Gestion stocks'!$Q19=2,0.7,IF('Gestion stocks'!$Q19=3,0.3,IF('Gestion stocks'!$Q19=4,0,IF('Gestion stocks'!$Q19=5,0.5,"Pas de réponse !")))))</f>
        <v>0.5</v>
      </c>
      <c r="J56" s="61" t="s">
        <v>136</v>
      </c>
      <c r="K56" s="58" t="str">
        <f>IF('Gestion stocks'!S19=1,"X"," ")</f>
        <v> </v>
      </c>
      <c r="L56" s="58" t="str">
        <f>IF('Gestion stocks'!$T19=1,"X"," ")</f>
        <v> </v>
      </c>
      <c r="M56" s="49" t="str">
        <f t="shared" si="4"/>
        <v> </v>
      </c>
      <c r="N56" s="49" t="str">
        <f t="shared" si="5"/>
        <v> </v>
      </c>
    </row>
    <row r="57" spans="1:14" ht="12.75">
      <c r="A57" s="47">
        <v>314</v>
      </c>
      <c r="B57" s="20" t="s">
        <v>45</v>
      </c>
      <c r="C57" s="20"/>
      <c r="D57" s="20"/>
      <c r="E57" s="20"/>
      <c r="F57" s="20"/>
      <c r="G57" s="20"/>
      <c r="H57" s="76"/>
      <c r="I57" s="87">
        <f>IF('Gestion stocks'!$Q20=1,1,IF('Gestion stocks'!$Q20=2,0.7,IF('Gestion stocks'!$Q20=3,0.3,IF('Gestion stocks'!$Q20=4,0,IF('Gestion stocks'!$Q20=5,0.5,"Pas de réponse !")))))</f>
        <v>0.5</v>
      </c>
      <c r="J57" s="61" t="s">
        <v>136</v>
      </c>
      <c r="K57" s="58" t="str">
        <f>IF('Gestion stocks'!S20=1,"X"," ")</f>
        <v> </v>
      </c>
      <c r="L57" s="58" t="str">
        <f>IF('Gestion stocks'!$T20=1,"X"," ")</f>
        <v> </v>
      </c>
      <c r="M57" s="49" t="str">
        <f t="shared" si="4"/>
        <v> </v>
      </c>
      <c r="N57" s="49" t="str">
        <f t="shared" si="5"/>
        <v> </v>
      </c>
    </row>
    <row r="58" spans="1:14" ht="15">
      <c r="A58" s="74" t="s">
        <v>141</v>
      </c>
      <c r="B58" s="88" t="str">
        <f>IF($G58=1,"X"," ")</f>
        <v> </v>
      </c>
      <c r="C58" s="89" t="str">
        <f>IF($G58=2,"X"," ")</f>
        <v> </v>
      </c>
      <c r="D58" s="90" t="str">
        <f>IF($G58=3,"X"," ")</f>
        <v> </v>
      </c>
      <c r="E58" s="91" t="str">
        <f>IF($G58=4,"X"," ")</f>
        <v> </v>
      </c>
      <c r="F58" s="75" t="s">
        <v>142</v>
      </c>
      <c r="G58" s="79" t="str">
        <f>IF($I58=0,"~",IF($K58="OUI","~",IF($I58&lt;=4,4,IF($I58&lt;=6.3,3,IF($I58&lt;=11,2,IF($I58&gt;11,1," "))))))</f>
        <v>~</v>
      </c>
      <c r="H58" s="64"/>
      <c r="I58" s="80">
        <f>IF('Gestion stocks'!R21&gt;10,0,SUM(I44:I57))</f>
        <v>0</v>
      </c>
      <c r="J58" s="81" t="s">
        <v>145</v>
      </c>
      <c r="K58" s="82" t="str">
        <f>IF('Gestion stocks'!R21&gt;10," ",IF(M58&gt;0,"OUI","NON"))</f>
        <v> </v>
      </c>
      <c r="L58" s="82" t="str">
        <f>IF('Gestion stocks'!R21&gt;10," ",IF(N58&gt;3,"OUI","NON"))</f>
        <v> </v>
      </c>
      <c r="M58" s="58">
        <f>COUNT(M44:M57)</f>
        <v>0</v>
      </c>
      <c r="N58" s="58">
        <f>COUNT(N44:N57)</f>
        <v>0</v>
      </c>
    </row>
    <row r="59" spans="1:12" ht="12.75">
      <c r="A59" s="146" t="s">
        <v>137</v>
      </c>
      <c r="B59" s="147"/>
      <c r="C59" s="65"/>
      <c r="D59" s="66"/>
      <c r="E59" s="66"/>
      <c r="F59" s="67"/>
      <c r="G59" s="68"/>
      <c r="H59" s="65"/>
      <c r="I59" s="69"/>
      <c r="J59" s="70"/>
      <c r="K59" s="71"/>
      <c r="L59" s="72"/>
    </row>
    <row r="60" spans="1:12" ht="19.5" customHeight="1">
      <c r="A60" s="148" t="str">
        <f>IF('Gestion stocks'!R21&gt;10," ",IF(K58="OUI","Travaillez avant tout sur les points éliminatoires de 1er niveau ! Un effort certain est à fournir...",IF(L58="OUI","Travaillez sur les points éliminatoires de 2e niveau ! Un effort modéré est à fournir pour un gain important...","Maintenez votre niveau et travaillez sur vos points faibles restant !")))</f>
        <v> </v>
      </c>
      <c r="B60" s="149"/>
      <c r="C60" s="149"/>
      <c r="D60" s="149"/>
      <c r="E60" s="149"/>
      <c r="F60" s="149"/>
      <c r="G60" s="149"/>
      <c r="H60" s="150"/>
      <c r="I60" s="151"/>
      <c r="J60" s="151"/>
      <c r="K60" s="151"/>
      <c r="L60" s="152"/>
    </row>
    <row r="61" spans="1:12" ht="19.5" customHeight="1">
      <c r="A61" s="153" t="str">
        <f>IF('Gestion stocks'!R21&gt;10,"Il y a trop de réponses Sans objet : l'item n'est probablement pas maîtrisé ou inapplicable !",IF(Résultats!K58="OUI","Votre note ne reflète pas votre maîtrise tant qu'il reste des points éliminatoires de premier niveau !"," "))</f>
        <v>Il y a trop de réponses Sans objet : l'item n'est probablement pas maîtrisé ou inapplicable !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5"/>
    </row>
    <row r="62" spans="1:12" ht="15.75">
      <c r="A62" s="102"/>
      <c r="B62" s="102"/>
      <c r="C62" s="102"/>
      <c r="D62" s="102"/>
      <c r="E62" s="102"/>
      <c r="F62" s="102"/>
      <c r="G62" s="102"/>
      <c r="H62" s="102"/>
      <c r="I62" s="102"/>
      <c r="J62" s="100"/>
      <c r="K62" s="100"/>
      <c r="L62" s="100"/>
    </row>
    <row r="63" spans="1:12" ht="15.75">
      <c r="A63" s="102"/>
      <c r="B63" s="102"/>
      <c r="C63" s="102"/>
      <c r="D63" s="102"/>
      <c r="E63" s="102"/>
      <c r="F63" s="102"/>
      <c r="G63" s="102"/>
      <c r="H63" s="102"/>
      <c r="I63" s="102"/>
      <c r="J63" s="100"/>
      <c r="K63" s="100"/>
      <c r="L63" s="100"/>
    </row>
    <row r="64" spans="1:12" ht="12.75">
      <c r="A64" s="4"/>
      <c r="B64" s="162" t="s">
        <v>60</v>
      </c>
      <c r="C64" s="163"/>
      <c r="D64" s="163"/>
      <c r="E64" s="163"/>
      <c r="F64" s="163"/>
      <c r="G64" s="163"/>
      <c r="H64" s="164"/>
      <c r="I64" s="156" t="s">
        <v>134</v>
      </c>
      <c r="J64" s="157"/>
      <c r="K64" s="160" t="s">
        <v>133</v>
      </c>
      <c r="L64" s="161"/>
    </row>
    <row r="65" spans="1:14" ht="12.75">
      <c r="A65" s="4"/>
      <c r="B65" s="165"/>
      <c r="C65" s="166"/>
      <c r="D65" s="166"/>
      <c r="E65" s="166"/>
      <c r="F65" s="166"/>
      <c r="G65" s="166"/>
      <c r="H65" s="167"/>
      <c r="I65" s="182"/>
      <c r="J65" s="183"/>
      <c r="K65" s="60" t="s">
        <v>140</v>
      </c>
      <c r="L65" s="60" t="s">
        <v>144</v>
      </c>
      <c r="M65" s="13" t="s">
        <v>139</v>
      </c>
      <c r="N65" s="13" t="s">
        <v>147</v>
      </c>
    </row>
    <row r="66" spans="1:14" ht="12.75">
      <c r="A66" s="47">
        <v>401</v>
      </c>
      <c r="B66" s="20" t="s">
        <v>48</v>
      </c>
      <c r="C66" s="20"/>
      <c r="D66" s="20"/>
      <c r="E66" s="20"/>
      <c r="F66" s="20"/>
      <c r="G66" s="20"/>
      <c r="H66" s="76"/>
      <c r="I66" s="87">
        <f>IF('Gestion travaux'!$Q7=1,1,IF('Gestion travaux'!$Q7=2,0.7,IF('Gestion travaux'!$Q7=3,0.3,IF('Gestion travaux'!$Q7=4,0,IF('Gestion travaux'!$Q7=5,0.5,"Pas de réponse !")))))</f>
        <v>0.5</v>
      </c>
      <c r="J66" s="61" t="s">
        <v>136</v>
      </c>
      <c r="K66" s="58" t="str">
        <f>IF('Gestion travaux'!S7=1,"X"," ")</f>
        <v> </v>
      </c>
      <c r="L66" s="58" t="str">
        <f>IF('Gestion travaux'!T7=1,"X"," ")</f>
        <v> </v>
      </c>
      <c r="M66" s="49" t="str">
        <f>IF(K66="X",1," ")</f>
        <v> </v>
      </c>
      <c r="N66" s="49" t="str">
        <f>IF(L66="X",1," ")</f>
        <v> </v>
      </c>
    </row>
    <row r="67" spans="1:14" ht="12.75">
      <c r="A67" s="47">
        <v>402</v>
      </c>
      <c r="B67" s="20" t="s">
        <v>49</v>
      </c>
      <c r="C67" s="20"/>
      <c r="D67" s="20"/>
      <c r="E67" s="20"/>
      <c r="F67" s="20"/>
      <c r="G67" s="20"/>
      <c r="H67" s="76"/>
      <c r="I67" s="87">
        <f>IF('Gestion travaux'!$Q8=1,1,IF('Gestion travaux'!$Q8=2,0.7,IF('Gestion travaux'!$Q8=3,0.3,IF('Gestion travaux'!$Q8=4,0,IF('Gestion travaux'!$Q8=5,0.5,"Pas de réponse !")))))</f>
        <v>0.5</v>
      </c>
      <c r="J67" s="61" t="s">
        <v>136</v>
      </c>
      <c r="K67" s="58" t="str">
        <f>IF('Gestion travaux'!S8=1,"X"," ")</f>
        <v> </v>
      </c>
      <c r="L67" s="58" t="str">
        <f>IF('Gestion travaux'!T8=1,"X"," ")</f>
        <v> </v>
      </c>
      <c r="M67" s="49" t="str">
        <f aca="true" t="shared" si="6" ref="M67:M77">IF(K67="X",1," ")</f>
        <v> </v>
      </c>
      <c r="N67" s="49" t="str">
        <f aca="true" t="shared" si="7" ref="N67:N77">IF(L67="X",1," ")</f>
        <v> </v>
      </c>
    </row>
    <row r="68" spans="1:14" ht="12.75">
      <c r="A68" s="47">
        <v>403</v>
      </c>
      <c r="B68" s="20" t="s">
        <v>50</v>
      </c>
      <c r="C68" s="20"/>
      <c r="D68" s="20"/>
      <c r="E68" s="20"/>
      <c r="F68" s="20"/>
      <c r="G68" s="20"/>
      <c r="H68" s="76"/>
      <c r="I68" s="87">
        <f>IF('Gestion travaux'!$Q9=1,1,IF('Gestion travaux'!$Q9=2,0.7,IF('Gestion travaux'!$Q9=3,0.3,IF('Gestion travaux'!$Q9=4,0,IF('Gestion travaux'!$Q9=5,0.5,"Pas de réponse !")))))</f>
        <v>0.5</v>
      </c>
      <c r="J68" s="61" t="s">
        <v>136</v>
      </c>
      <c r="K68" s="58" t="str">
        <f>IF('Gestion travaux'!S9=1,"X"," ")</f>
        <v> </v>
      </c>
      <c r="L68" s="58" t="str">
        <f>IF('Gestion travaux'!T9=1,"X"," ")</f>
        <v> </v>
      </c>
      <c r="M68" s="49" t="str">
        <f t="shared" si="6"/>
        <v> </v>
      </c>
      <c r="N68" s="49" t="str">
        <f t="shared" si="7"/>
        <v> </v>
      </c>
    </row>
    <row r="69" spans="1:14" ht="12.75">
      <c r="A69" s="47">
        <v>404</v>
      </c>
      <c r="B69" s="20" t="s">
        <v>51</v>
      </c>
      <c r="C69" s="20"/>
      <c r="D69" s="20"/>
      <c r="E69" s="20"/>
      <c r="F69" s="20"/>
      <c r="G69" s="20"/>
      <c r="H69" s="76"/>
      <c r="I69" s="87">
        <f>IF('Gestion travaux'!$Q10=1,1,IF('Gestion travaux'!$Q10=2,0.7,IF('Gestion travaux'!$Q10=3,0.3,IF('Gestion travaux'!$Q10=4,0,IF('Gestion travaux'!$Q10=5,0.5,"Pas de réponse !")))))</f>
        <v>0.5</v>
      </c>
      <c r="J69" s="61" t="s">
        <v>136</v>
      </c>
      <c r="K69" s="58" t="str">
        <f>IF('Gestion travaux'!S10=1,"X"," ")</f>
        <v> </v>
      </c>
      <c r="L69" s="58" t="str">
        <f>IF('Gestion travaux'!T10=1,"X"," ")</f>
        <v> </v>
      </c>
      <c r="M69" s="49" t="str">
        <f t="shared" si="6"/>
        <v> </v>
      </c>
      <c r="N69" s="49" t="str">
        <f t="shared" si="7"/>
        <v> </v>
      </c>
    </row>
    <row r="70" spans="1:14" ht="12.75">
      <c r="A70" s="47">
        <v>405</v>
      </c>
      <c r="B70" s="20" t="s">
        <v>52</v>
      </c>
      <c r="C70" s="20"/>
      <c r="D70" s="20"/>
      <c r="E70" s="20"/>
      <c r="F70" s="20"/>
      <c r="G70" s="20"/>
      <c r="H70" s="76"/>
      <c r="I70" s="87">
        <f>IF('Gestion travaux'!$Q11=1,1,IF('Gestion travaux'!$Q11=2,0.7,IF('Gestion travaux'!$Q11=3,0.3,IF('Gestion travaux'!$Q11=4,0,IF('Gestion travaux'!$Q11=5,0.5,"Pas de réponse !")))))</f>
        <v>0.5</v>
      </c>
      <c r="J70" s="61" t="s">
        <v>136</v>
      </c>
      <c r="K70" s="58" t="str">
        <f>IF('Gestion travaux'!S11=1,"X"," ")</f>
        <v> </v>
      </c>
      <c r="L70" s="58" t="str">
        <f>IF('Gestion travaux'!T11=1,"X"," ")</f>
        <v> </v>
      </c>
      <c r="M70" s="49" t="str">
        <f t="shared" si="6"/>
        <v> </v>
      </c>
      <c r="N70" s="49" t="str">
        <f t="shared" si="7"/>
        <v> </v>
      </c>
    </row>
    <row r="71" spans="1:14" ht="12.75">
      <c r="A71" s="47">
        <v>406</v>
      </c>
      <c r="B71" s="20" t="s">
        <v>53</v>
      </c>
      <c r="C71" s="20"/>
      <c r="D71" s="20"/>
      <c r="E71" s="20"/>
      <c r="F71" s="20"/>
      <c r="G71" s="20"/>
      <c r="H71" s="76"/>
      <c r="I71" s="87">
        <f>IF('Gestion travaux'!$Q12=1,1,IF('Gestion travaux'!$Q12=2,0.7,IF('Gestion travaux'!$Q12=3,0.3,IF('Gestion travaux'!$Q12=4,0,IF('Gestion travaux'!$Q12=5,0.5,"Pas de réponse !")))))</f>
        <v>0.5</v>
      </c>
      <c r="J71" s="61" t="s">
        <v>136</v>
      </c>
      <c r="K71" s="58" t="str">
        <f>IF('Gestion travaux'!S12=1,"X"," ")</f>
        <v> </v>
      </c>
      <c r="L71" s="58" t="str">
        <f>IF('Gestion travaux'!T12=1,"X"," ")</f>
        <v> </v>
      </c>
      <c r="M71" s="49" t="str">
        <f t="shared" si="6"/>
        <v> </v>
      </c>
      <c r="N71" s="49" t="str">
        <f t="shared" si="7"/>
        <v> </v>
      </c>
    </row>
    <row r="72" spans="1:14" ht="12.75">
      <c r="A72" s="47">
        <v>407</v>
      </c>
      <c r="B72" s="20" t="s">
        <v>54</v>
      </c>
      <c r="C72" s="20"/>
      <c r="D72" s="20"/>
      <c r="E72" s="20"/>
      <c r="F72" s="20"/>
      <c r="G72" s="20"/>
      <c r="H72" s="76"/>
      <c r="I72" s="87">
        <f>IF('Gestion travaux'!$Q13=1,1,IF('Gestion travaux'!$Q13=2,0.7,IF('Gestion travaux'!$Q13=3,0.3,IF('Gestion travaux'!$Q13=4,0,IF('Gestion travaux'!$Q13=5,0.5,"Pas de réponse !")))))</f>
        <v>0.5</v>
      </c>
      <c r="J72" s="61" t="s">
        <v>136</v>
      </c>
      <c r="K72" s="58" t="str">
        <f>IF('Gestion travaux'!S13=1,"X"," ")</f>
        <v> </v>
      </c>
      <c r="L72" s="58" t="str">
        <f>IF('Gestion travaux'!T13=1,"X"," ")</f>
        <v> </v>
      </c>
      <c r="M72" s="49" t="str">
        <f t="shared" si="6"/>
        <v> </v>
      </c>
      <c r="N72" s="49" t="str">
        <f t="shared" si="7"/>
        <v> </v>
      </c>
    </row>
    <row r="73" spans="1:14" ht="12.75">
      <c r="A73" s="47">
        <v>408</v>
      </c>
      <c r="B73" s="20" t="s">
        <v>55</v>
      </c>
      <c r="C73" s="20"/>
      <c r="D73" s="20"/>
      <c r="E73" s="20"/>
      <c r="F73" s="20"/>
      <c r="G73" s="20"/>
      <c r="H73" s="76"/>
      <c r="I73" s="87">
        <f>IF('Gestion travaux'!$Q14=1,1,IF('Gestion travaux'!$Q14=2,0.7,IF('Gestion travaux'!$Q14=3,0.3,IF('Gestion travaux'!$Q14=4,0,IF('Gestion travaux'!$Q14=5,0.5,"Pas de réponse !")))))</f>
        <v>0.5</v>
      </c>
      <c r="J73" s="61" t="s">
        <v>136</v>
      </c>
      <c r="K73" s="58" t="str">
        <f>IF('Gestion travaux'!S14=1,"X"," ")</f>
        <v> </v>
      </c>
      <c r="L73" s="58" t="str">
        <f>IF('Gestion travaux'!T14=1,"X"," ")</f>
        <v> </v>
      </c>
      <c r="M73" s="49" t="str">
        <f t="shared" si="6"/>
        <v> </v>
      </c>
      <c r="N73" s="49" t="str">
        <f t="shared" si="7"/>
        <v> </v>
      </c>
    </row>
    <row r="74" spans="1:14" ht="12.75">
      <c r="A74" s="47">
        <v>409</v>
      </c>
      <c r="B74" s="20" t="s">
        <v>56</v>
      </c>
      <c r="C74" s="20"/>
      <c r="D74" s="20"/>
      <c r="E74" s="20"/>
      <c r="F74" s="20"/>
      <c r="G74" s="20"/>
      <c r="H74" s="76"/>
      <c r="I74" s="87">
        <f>IF('Gestion travaux'!$Q15=1,1,IF('Gestion travaux'!$Q15=2,0.7,IF('Gestion travaux'!$Q15=3,0.3,IF('Gestion travaux'!$Q15=4,0,IF('Gestion travaux'!$Q15=5,0.5,"Pas de réponse !")))))</f>
        <v>0.5</v>
      </c>
      <c r="J74" s="61" t="s">
        <v>136</v>
      </c>
      <c r="K74" s="58" t="str">
        <f>IF('Gestion travaux'!S15=1,"X"," ")</f>
        <v> </v>
      </c>
      <c r="L74" s="58" t="str">
        <f>IF('Gestion travaux'!T15=1,"X"," ")</f>
        <v> </v>
      </c>
      <c r="M74" s="49" t="str">
        <f t="shared" si="6"/>
        <v> </v>
      </c>
      <c r="N74" s="49" t="str">
        <f t="shared" si="7"/>
        <v> </v>
      </c>
    </row>
    <row r="75" spans="1:14" ht="12.75">
      <c r="A75" s="47">
        <v>410</v>
      </c>
      <c r="B75" s="20" t="s">
        <v>57</v>
      </c>
      <c r="C75" s="20"/>
      <c r="D75" s="20"/>
      <c r="E75" s="20"/>
      <c r="F75" s="20"/>
      <c r="G75" s="20"/>
      <c r="H75" s="76"/>
      <c r="I75" s="87">
        <f>IF('Gestion travaux'!$Q16=1,1,IF('Gestion travaux'!$Q16=2,0.7,IF('Gestion travaux'!$Q16=3,0.3,IF('Gestion travaux'!$Q16=4,0,IF('Gestion travaux'!$Q16=5,0.5,"Pas de réponse !")))))</f>
        <v>0.5</v>
      </c>
      <c r="J75" s="61" t="s">
        <v>136</v>
      </c>
      <c r="K75" s="58" t="str">
        <f>IF('Gestion travaux'!S16=1,"X"," ")</f>
        <v> </v>
      </c>
      <c r="L75" s="58" t="str">
        <f>IF('Gestion travaux'!T16=1,"X"," ")</f>
        <v> </v>
      </c>
      <c r="M75" s="49" t="str">
        <f t="shared" si="6"/>
        <v> </v>
      </c>
      <c r="N75" s="49" t="str">
        <f t="shared" si="7"/>
        <v> </v>
      </c>
    </row>
    <row r="76" spans="1:14" ht="12.75">
      <c r="A76" s="47">
        <v>411</v>
      </c>
      <c r="B76" s="20" t="s">
        <v>58</v>
      </c>
      <c r="C76" s="20"/>
      <c r="D76" s="20"/>
      <c r="E76" s="20"/>
      <c r="F76" s="20"/>
      <c r="G76" s="20"/>
      <c r="H76" s="76"/>
      <c r="I76" s="87">
        <f>IF('Gestion travaux'!$Q17=1,1,IF('Gestion travaux'!$Q17=2,0.7,IF('Gestion travaux'!$Q17=3,0.3,IF('Gestion travaux'!$Q17=4,0,IF('Gestion travaux'!$Q17=5,0.5,"Pas de réponse !")))))</f>
        <v>0.5</v>
      </c>
      <c r="J76" s="61" t="s">
        <v>136</v>
      </c>
      <c r="K76" s="58" t="str">
        <f>IF('Gestion travaux'!S17=1,"X"," ")</f>
        <v> </v>
      </c>
      <c r="L76" s="58" t="str">
        <f>IF('Gestion travaux'!T17=1,"X"," ")</f>
        <v> </v>
      </c>
      <c r="M76" s="49" t="str">
        <f t="shared" si="6"/>
        <v> </v>
      </c>
      <c r="N76" s="49" t="str">
        <f t="shared" si="7"/>
        <v> </v>
      </c>
    </row>
    <row r="77" spans="1:14" ht="12.75">
      <c r="A77" s="47">
        <v>412</v>
      </c>
      <c r="B77" s="20" t="s">
        <v>59</v>
      </c>
      <c r="C77" s="20"/>
      <c r="D77" s="20"/>
      <c r="E77" s="20"/>
      <c r="F77" s="20"/>
      <c r="G77" s="20"/>
      <c r="H77" s="76"/>
      <c r="I77" s="87">
        <f>IF('Gestion travaux'!$Q18=1,1,IF('Gestion travaux'!$Q18=2,0.7,IF('Gestion travaux'!$Q18=3,0.3,IF('Gestion travaux'!$Q18=4,0,IF('Gestion travaux'!$Q18=5,0.5,"Pas de réponse !")))))</f>
        <v>0.5</v>
      </c>
      <c r="J77" s="61" t="s">
        <v>136</v>
      </c>
      <c r="K77" s="58" t="str">
        <f>IF('Gestion travaux'!S18=1,"X"," ")</f>
        <v> </v>
      </c>
      <c r="L77" s="58" t="str">
        <f>IF('Gestion travaux'!T18=1,"X"," ")</f>
        <v> </v>
      </c>
      <c r="M77" s="49" t="str">
        <f t="shared" si="6"/>
        <v> </v>
      </c>
      <c r="N77" s="49" t="str">
        <f t="shared" si="7"/>
        <v> </v>
      </c>
    </row>
    <row r="78" spans="1:14" ht="15">
      <c r="A78" s="74" t="s">
        <v>141</v>
      </c>
      <c r="B78" s="88" t="str">
        <f>IF($G78=1,"X"," ")</f>
        <v> </v>
      </c>
      <c r="C78" s="89" t="str">
        <f>IF($G78=2,"X"," ")</f>
        <v> </v>
      </c>
      <c r="D78" s="90" t="str">
        <f>IF($G78=3,"X"," ")</f>
        <v> </v>
      </c>
      <c r="E78" s="91" t="str">
        <f>IF($G78=4,"X"," ")</f>
        <v> </v>
      </c>
      <c r="F78" s="75" t="s">
        <v>142</v>
      </c>
      <c r="G78" s="79" t="str">
        <f>IF($I78=0,"~",IF($K78="OUI","~",IF($I78&lt;=5,4,IF($I78&lt;=7.3,3,IF($I78&lt;=10,2,IF($I78&gt;10,1," "))))))</f>
        <v>~</v>
      </c>
      <c r="H78" s="64"/>
      <c r="I78" s="80">
        <f>IF('Gestion travaux'!R19&gt;9,0,SUM(I66:I77))</f>
        <v>0</v>
      </c>
      <c r="J78" s="81" t="s">
        <v>146</v>
      </c>
      <c r="K78" s="82" t="str">
        <f>IF('Gestion travaux'!R19&gt;9," ",IF(M78&gt;0,"OUI","NON"))</f>
        <v> </v>
      </c>
      <c r="L78" s="82" t="str">
        <f>IF('Gestion travaux'!R19&gt;9," ",IF(N78&gt;3,"OUI","NON"))</f>
        <v> </v>
      </c>
      <c r="M78" s="58">
        <f>COUNT(M66:M77)</f>
        <v>0</v>
      </c>
      <c r="N78" s="58">
        <f>COUNT(N66:N77)</f>
        <v>0</v>
      </c>
    </row>
    <row r="79" spans="1:12" ht="12.75">
      <c r="A79" s="146" t="s">
        <v>137</v>
      </c>
      <c r="B79" s="147"/>
      <c r="C79" s="65"/>
      <c r="D79" s="66"/>
      <c r="E79" s="66"/>
      <c r="F79" s="67"/>
      <c r="G79" s="68"/>
      <c r="H79" s="65"/>
      <c r="I79" s="69"/>
      <c r="J79" s="70"/>
      <c r="K79" s="71"/>
      <c r="L79" s="72"/>
    </row>
    <row r="80" spans="1:12" ht="19.5" customHeight="1">
      <c r="A80" s="148" t="str">
        <f>IF('Gestion travaux'!R19&gt;9," ",IF(K78="OUI","Travaillez avant tout sur les points éliminatoires de 1er niveau ! Un effort certain est à fournir...",IF(L78="OUI","Travaillez sur les points éliminatoires de 2e niveau ! Un effort modéré est à fournir pour un gain important...","Maintenez votre niveau et travaillez sur vos points faibles restant !")))</f>
        <v> </v>
      </c>
      <c r="B80" s="149"/>
      <c r="C80" s="149"/>
      <c r="D80" s="149"/>
      <c r="E80" s="149"/>
      <c r="F80" s="149"/>
      <c r="G80" s="149"/>
      <c r="H80" s="150"/>
      <c r="I80" s="151"/>
      <c r="J80" s="151"/>
      <c r="K80" s="151"/>
      <c r="L80" s="152"/>
    </row>
    <row r="81" spans="1:12" ht="19.5" customHeight="1">
      <c r="A81" s="153" t="str">
        <f>IF('Gestion travaux'!R19&gt;9,"Il y a trop de réponses Sans objet : l'item n'est probablement pas maîtrisé ou inapplicable !",IF(Résultats!K78="OUI","Votre note ne reflète pas votre maîtrise tant qu'il reste des points éliminatoires de premier niveau !"," "))</f>
        <v>Il y a trop de réponses Sans objet : l'item n'est probablement pas maîtrisé ou inapplicable !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5"/>
    </row>
    <row r="82" spans="1:12" ht="15.75">
      <c r="A82" s="102"/>
      <c r="B82" s="102"/>
      <c r="C82" s="102"/>
      <c r="D82" s="102"/>
      <c r="E82" s="102"/>
      <c r="F82" s="102"/>
      <c r="G82" s="102"/>
      <c r="H82" s="102"/>
      <c r="I82" s="102"/>
      <c r="J82" s="70"/>
      <c r="K82" s="100"/>
      <c r="L82" s="100"/>
    </row>
    <row r="83" spans="1:12" ht="12.75">
      <c r="A83" s="100"/>
      <c r="B83" s="100"/>
      <c r="C83" s="100"/>
      <c r="D83" s="100"/>
      <c r="E83" s="100"/>
      <c r="F83" s="100"/>
      <c r="G83" s="100"/>
      <c r="H83" s="100"/>
      <c r="I83" s="101"/>
      <c r="J83" s="100"/>
      <c r="K83" s="100"/>
      <c r="L83" s="100"/>
    </row>
    <row r="84" spans="1:12" ht="12.75">
      <c r="A84" s="4"/>
      <c r="B84" s="162" t="s">
        <v>73</v>
      </c>
      <c r="C84" s="163"/>
      <c r="D84" s="163"/>
      <c r="E84" s="163"/>
      <c r="F84" s="163"/>
      <c r="G84" s="163"/>
      <c r="H84" s="164"/>
      <c r="I84" s="156" t="s">
        <v>134</v>
      </c>
      <c r="J84" s="157"/>
      <c r="K84" s="160" t="s">
        <v>133</v>
      </c>
      <c r="L84" s="161"/>
    </row>
    <row r="85" spans="1:14" ht="12.75">
      <c r="A85" s="4"/>
      <c r="B85" s="165"/>
      <c r="C85" s="166"/>
      <c r="D85" s="166"/>
      <c r="E85" s="166"/>
      <c r="F85" s="166"/>
      <c r="G85" s="166"/>
      <c r="H85" s="167"/>
      <c r="I85" s="182"/>
      <c r="J85" s="183"/>
      <c r="K85" s="60" t="s">
        <v>140</v>
      </c>
      <c r="L85" s="60" t="s">
        <v>144</v>
      </c>
      <c r="M85" s="13" t="s">
        <v>139</v>
      </c>
      <c r="N85" s="13" t="s">
        <v>147</v>
      </c>
    </row>
    <row r="86" spans="1:14" ht="12.75">
      <c r="A86" s="47">
        <v>501</v>
      </c>
      <c r="B86" s="20" t="s">
        <v>61</v>
      </c>
      <c r="C86" s="20"/>
      <c r="D86" s="20"/>
      <c r="E86" s="20"/>
      <c r="F86" s="20"/>
      <c r="G86" s="20"/>
      <c r="H86" s="76"/>
      <c r="I86" s="87">
        <f>IF('Analyse FMDS'!$Q7=1,1,IF('Analyse FMDS'!$Q7=2,0.7,IF('Analyse FMDS'!$Q7=3,0.3,IF('Analyse FMDS'!$Q7=4,0,IF('Analyse FMDS'!$Q7=5,0.5,"Pas de réponse !")))))</f>
        <v>0.5</v>
      </c>
      <c r="J86" s="61" t="s">
        <v>136</v>
      </c>
      <c r="K86" s="77" t="str">
        <f>IF('Analyse FMDS'!S7=1,"X"," ")</f>
        <v> </v>
      </c>
      <c r="L86" s="58" t="str">
        <f>IF('Analyse FMDS'!T7=1,"X"," ")</f>
        <v> </v>
      </c>
      <c r="M86" s="49" t="str">
        <f>IF(K86="X",1," ")</f>
        <v> </v>
      </c>
      <c r="N86" s="49" t="str">
        <f>IF(L86="X",1," ")</f>
        <v> </v>
      </c>
    </row>
    <row r="87" spans="1:14" ht="12.75">
      <c r="A87" s="47">
        <v>502</v>
      </c>
      <c r="B87" s="20" t="s">
        <v>62</v>
      </c>
      <c r="C87" s="20"/>
      <c r="D87" s="20"/>
      <c r="E87" s="20"/>
      <c r="F87" s="20"/>
      <c r="G87" s="20"/>
      <c r="H87" s="76"/>
      <c r="I87" s="87">
        <f>IF('Analyse FMDS'!$Q8=1,1,IF('Analyse FMDS'!$Q8=2,0.7,IF('Analyse FMDS'!$Q8=3,0.3,IF('Analyse FMDS'!$Q8=4,0,IF('Analyse FMDS'!$Q8=5,0.5,"Pas de réponse !")))))</f>
        <v>0.5</v>
      </c>
      <c r="J87" s="61" t="s">
        <v>136</v>
      </c>
      <c r="K87" s="77" t="str">
        <f>IF('Analyse FMDS'!S8=1,"X"," ")</f>
        <v> </v>
      </c>
      <c r="L87" s="58" t="str">
        <f>IF('Analyse FMDS'!T8=1,"X"," ")</f>
        <v> </v>
      </c>
      <c r="M87" s="49" t="str">
        <f aca="true" t="shared" si="8" ref="M87:M98">IF(K87="X",1," ")</f>
        <v> </v>
      </c>
      <c r="N87" s="49" t="str">
        <f aca="true" t="shared" si="9" ref="N87:N98">IF(L87="X",1," ")</f>
        <v> </v>
      </c>
    </row>
    <row r="88" spans="1:14" ht="12.75">
      <c r="A88" s="47">
        <v>503</v>
      </c>
      <c r="B88" s="20" t="s">
        <v>63</v>
      </c>
      <c r="C88" s="20"/>
      <c r="D88" s="20"/>
      <c r="E88" s="20"/>
      <c r="F88" s="20"/>
      <c r="G88" s="20"/>
      <c r="H88" s="76"/>
      <c r="I88" s="87">
        <f>IF('Analyse FMDS'!$Q9=1,1,IF('Analyse FMDS'!$Q9=2,0.7,IF('Analyse FMDS'!$Q9=3,0.3,IF('Analyse FMDS'!$Q9=4,0,IF('Analyse FMDS'!$Q9=5,0.5,"Pas de réponse !")))))</f>
        <v>0.5</v>
      </c>
      <c r="J88" s="61" t="s">
        <v>136</v>
      </c>
      <c r="K88" s="77" t="str">
        <f>IF('Analyse FMDS'!S9=1,"X"," ")</f>
        <v> </v>
      </c>
      <c r="L88" s="58" t="str">
        <f>IF('Analyse FMDS'!T9=1,"X"," ")</f>
        <v> </v>
      </c>
      <c r="M88" s="49" t="str">
        <f t="shared" si="8"/>
        <v> </v>
      </c>
      <c r="N88" s="49" t="str">
        <f t="shared" si="9"/>
        <v> </v>
      </c>
    </row>
    <row r="89" spans="1:14" ht="12.75">
      <c r="A89" s="47">
        <v>504</v>
      </c>
      <c r="B89" s="20" t="s">
        <v>64</v>
      </c>
      <c r="C89" s="20"/>
      <c r="D89" s="20"/>
      <c r="E89" s="20"/>
      <c r="F89" s="20"/>
      <c r="G89" s="20"/>
      <c r="H89" s="76"/>
      <c r="I89" s="87">
        <f>IF('Analyse FMDS'!$Q10=1,1,IF('Analyse FMDS'!$Q10=2,0.7,IF('Analyse FMDS'!$Q10=3,0.3,IF('Analyse FMDS'!$Q10=4,0,IF('Analyse FMDS'!$Q10=5,0.5,"Pas de réponse !")))))</f>
        <v>0.5</v>
      </c>
      <c r="J89" s="61" t="s">
        <v>136</v>
      </c>
      <c r="K89" s="77" t="str">
        <f>IF('Analyse FMDS'!S10=1,"X"," ")</f>
        <v> </v>
      </c>
      <c r="L89" s="58" t="str">
        <f>IF('Analyse FMDS'!T10=1,"X"," ")</f>
        <v> </v>
      </c>
      <c r="M89" s="49" t="str">
        <f t="shared" si="8"/>
        <v> </v>
      </c>
      <c r="N89" s="49" t="str">
        <f t="shared" si="9"/>
        <v> </v>
      </c>
    </row>
    <row r="90" spans="1:14" ht="12.75">
      <c r="A90" s="47">
        <v>505</v>
      </c>
      <c r="B90" s="20" t="s">
        <v>65</v>
      </c>
      <c r="C90" s="20"/>
      <c r="D90" s="20"/>
      <c r="E90" s="20"/>
      <c r="F90" s="20"/>
      <c r="G90" s="20"/>
      <c r="H90" s="76"/>
      <c r="I90" s="87">
        <f>IF('Analyse FMDS'!$Q11=1,1,IF('Analyse FMDS'!$Q11=2,0.7,IF('Analyse FMDS'!$Q11=3,0.3,IF('Analyse FMDS'!$Q11=4,0,IF('Analyse FMDS'!$Q11=5,0.5,"Pas de réponse !")))))</f>
        <v>0.5</v>
      </c>
      <c r="J90" s="61" t="s">
        <v>136</v>
      </c>
      <c r="K90" s="77" t="str">
        <f>IF('Analyse FMDS'!S11=1,"X"," ")</f>
        <v> </v>
      </c>
      <c r="L90" s="58" t="str">
        <f>IF('Analyse FMDS'!T11=1,"X"," ")</f>
        <v> </v>
      </c>
      <c r="M90" s="49" t="str">
        <f t="shared" si="8"/>
        <v> </v>
      </c>
      <c r="N90" s="49" t="str">
        <f t="shared" si="9"/>
        <v> </v>
      </c>
    </row>
    <row r="91" spans="1:14" ht="12.75">
      <c r="A91" s="47">
        <v>506</v>
      </c>
      <c r="B91" s="20" t="s">
        <v>66</v>
      </c>
      <c r="C91" s="20"/>
      <c r="D91" s="20"/>
      <c r="E91" s="20"/>
      <c r="F91" s="20"/>
      <c r="G91" s="20"/>
      <c r="H91" s="76"/>
      <c r="I91" s="87">
        <f>IF('Analyse FMDS'!$Q12=1,1,IF('Analyse FMDS'!$Q12=2,0.7,IF('Analyse FMDS'!$Q12=3,0.3,IF('Analyse FMDS'!$Q12=4,0,IF('Analyse FMDS'!$Q12=5,0.5,"Pas de réponse !")))))</f>
        <v>0.5</v>
      </c>
      <c r="J91" s="61" t="s">
        <v>136</v>
      </c>
      <c r="K91" s="77" t="str">
        <f>IF('Analyse FMDS'!S12=1,"X"," ")</f>
        <v> </v>
      </c>
      <c r="L91" s="58" t="str">
        <f>IF('Analyse FMDS'!T12=1,"X"," ")</f>
        <v> </v>
      </c>
      <c r="M91" s="49" t="str">
        <f t="shared" si="8"/>
        <v> </v>
      </c>
      <c r="N91" s="49" t="str">
        <f t="shared" si="9"/>
        <v> </v>
      </c>
    </row>
    <row r="92" spans="1:14" ht="12.75">
      <c r="A92" s="47">
        <v>507</v>
      </c>
      <c r="B92" s="20" t="s">
        <v>67</v>
      </c>
      <c r="C92" s="20"/>
      <c r="D92" s="20"/>
      <c r="E92" s="20"/>
      <c r="F92" s="20"/>
      <c r="G92" s="20"/>
      <c r="H92" s="76"/>
      <c r="I92" s="87">
        <f>IF('Analyse FMDS'!$Q13=1,1,IF('Analyse FMDS'!$Q13=2,0.7,IF('Analyse FMDS'!$Q13=3,0.3,IF('Analyse FMDS'!$Q13=4,0,IF('Analyse FMDS'!$Q13=5,0.5,"Pas de réponse !")))))</f>
        <v>0.5</v>
      </c>
      <c r="J92" s="61" t="s">
        <v>136</v>
      </c>
      <c r="K92" s="77" t="str">
        <f>IF('Analyse FMDS'!S13=1,"X"," ")</f>
        <v> </v>
      </c>
      <c r="L92" s="58" t="str">
        <f>IF('Analyse FMDS'!T13=1,"X"," ")</f>
        <v> </v>
      </c>
      <c r="M92" s="49" t="str">
        <f t="shared" si="8"/>
        <v> </v>
      </c>
      <c r="N92" s="49" t="str">
        <f t="shared" si="9"/>
        <v> </v>
      </c>
    </row>
    <row r="93" spans="1:14" ht="12.75">
      <c r="A93" s="47">
        <v>508</v>
      </c>
      <c r="B93" s="20" t="s">
        <v>68</v>
      </c>
      <c r="C93" s="20"/>
      <c r="D93" s="20"/>
      <c r="E93" s="20"/>
      <c r="F93" s="20"/>
      <c r="G93" s="20"/>
      <c r="H93" s="76"/>
      <c r="I93" s="87">
        <f>IF('Analyse FMDS'!$Q14=1,1,IF('Analyse FMDS'!$Q14=2,0.7,IF('Analyse FMDS'!$Q14=3,0.3,IF('Analyse FMDS'!$Q14=4,0,IF('Analyse FMDS'!$Q14=5,0.5,"Pas de réponse !")))))</f>
        <v>0.5</v>
      </c>
      <c r="J93" s="61" t="s">
        <v>136</v>
      </c>
      <c r="K93" s="77" t="str">
        <f>IF('Analyse FMDS'!S14=1,"X"," ")</f>
        <v> </v>
      </c>
      <c r="L93" s="58" t="str">
        <f>IF('Analyse FMDS'!T14=1,"X"," ")</f>
        <v> </v>
      </c>
      <c r="M93" s="49" t="str">
        <f t="shared" si="8"/>
        <v> </v>
      </c>
      <c r="N93" s="49" t="str">
        <f t="shared" si="9"/>
        <v> </v>
      </c>
    </row>
    <row r="94" spans="1:14" ht="12.75">
      <c r="A94" s="47">
        <v>509</v>
      </c>
      <c r="B94" s="20" t="s">
        <v>72</v>
      </c>
      <c r="C94" s="20"/>
      <c r="D94" s="20"/>
      <c r="E94" s="20"/>
      <c r="F94" s="20"/>
      <c r="G94" s="20"/>
      <c r="H94" s="76"/>
      <c r="I94" s="87">
        <f>IF('Analyse FMDS'!$Q15=1,1,IF('Analyse FMDS'!$Q15=2,0.7,IF('Analyse FMDS'!$Q15=3,0.3,IF('Analyse FMDS'!$Q15=4,0,IF('Analyse FMDS'!$Q15=5,0.5,"Pas de réponse !")))))</f>
        <v>0.5</v>
      </c>
      <c r="J94" s="61" t="s">
        <v>136</v>
      </c>
      <c r="K94" s="77" t="str">
        <f>IF('Analyse FMDS'!S15=1,"X"," ")</f>
        <v> </v>
      </c>
      <c r="L94" s="58" t="str">
        <f>IF('Analyse FMDS'!T15=1,"X"," ")</f>
        <v> </v>
      </c>
      <c r="M94" s="49" t="str">
        <f t="shared" si="8"/>
        <v> </v>
      </c>
      <c r="N94" s="49" t="str">
        <f t="shared" si="9"/>
        <v> </v>
      </c>
    </row>
    <row r="95" spans="1:14" ht="12.75">
      <c r="A95" s="47">
        <v>510</v>
      </c>
      <c r="B95" s="20" t="s">
        <v>69</v>
      </c>
      <c r="C95" s="20"/>
      <c r="D95" s="20"/>
      <c r="E95" s="20"/>
      <c r="F95" s="20"/>
      <c r="G95" s="20"/>
      <c r="H95" s="76"/>
      <c r="I95" s="87">
        <f>IF('Analyse FMDS'!$Q16=1,1,IF('Analyse FMDS'!$Q16=2,0.7,IF('Analyse FMDS'!$Q16=3,0.3,IF('Analyse FMDS'!$Q16=4,0,IF('Analyse FMDS'!$Q16=5,0.5,"Pas de réponse !")))))</f>
        <v>0.5</v>
      </c>
      <c r="J95" s="61" t="s">
        <v>136</v>
      </c>
      <c r="K95" s="77" t="str">
        <f>IF('Analyse FMDS'!S16=1,"X"," ")</f>
        <v> </v>
      </c>
      <c r="L95" s="58" t="str">
        <f>IF('Analyse FMDS'!T16=1,"X"," ")</f>
        <v> </v>
      </c>
      <c r="M95" s="49" t="str">
        <f t="shared" si="8"/>
        <v> </v>
      </c>
      <c r="N95" s="49" t="str">
        <f t="shared" si="9"/>
        <v> </v>
      </c>
    </row>
    <row r="96" spans="1:14" ht="12.75">
      <c r="A96" s="47">
        <v>511</v>
      </c>
      <c r="B96" s="20" t="s">
        <v>70</v>
      </c>
      <c r="C96" s="20"/>
      <c r="D96" s="20"/>
      <c r="E96" s="20"/>
      <c r="F96" s="20"/>
      <c r="G96" s="20"/>
      <c r="H96" s="76"/>
      <c r="I96" s="87">
        <f>IF('Analyse FMDS'!$Q17=1,1,IF('Analyse FMDS'!$Q17=2,0.7,IF('Analyse FMDS'!$Q17=3,0.3,IF('Analyse FMDS'!$Q17=4,0,IF('Analyse FMDS'!$Q17=5,0.5,"Pas de réponse !")))))</f>
        <v>0.5</v>
      </c>
      <c r="J96" s="61" t="s">
        <v>136</v>
      </c>
      <c r="K96" s="77" t="str">
        <f>IF('Analyse FMDS'!S17=1,"X"," ")</f>
        <v> </v>
      </c>
      <c r="L96" s="58" t="str">
        <f>IF('Analyse FMDS'!T17=1,"X"," ")</f>
        <v> </v>
      </c>
      <c r="M96" s="49" t="str">
        <f t="shared" si="8"/>
        <v> </v>
      </c>
      <c r="N96" s="49" t="str">
        <f t="shared" si="9"/>
        <v> </v>
      </c>
    </row>
    <row r="97" spans="1:14" ht="12.75">
      <c r="A97" s="47">
        <v>512</v>
      </c>
      <c r="B97" s="20" t="s">
        <v>18</v>
      </c>
      <c r="C97" s="20"/>
      <c r="D97" s="20"/>
      <c r="E97" s="20"/>
      <c r="F97" s="20"/>
      <c r="G97" s="20"/>
      <c r="H97" s="76"/>
      <c r="I97" s="87">
        <f>IF('Analyse FMDS'!$Q18=1,1,IF('Analyse FMDS'!$Q18=2,0.7,IF('Analyse FMDS'!$Q18=3,0.3,IF('Analyse FMDS'!$Q18=4,0,IF('Analyse FMDS'!$Q18=5,0.5,"Pas de réponse !")))))</f>
        <v>0.5</v>
      </c>
      <c r="J97" s="61" t="s">
        <v>136</v>
      </c>
      <c r="K97" s="77" t="str">
        <f>IF('Analyse FMDS'!S18=1,"X"," ")</f>
        <v> </v>
      </c>
      <c r="L97" s="58" t="str">
        <f>IF('Analyse FMDS'!T18=1,"X"," ")</f>
        <v> </v>
      </c>
      <c r="M97" s="49" t="str">
        <f t="shared" si="8"/>
        <v> </v>
      </c>
      <c r="N97" s="49" t="str">
        <f t="shared" si="9"/>
        <v> </v>
      </c>
    </row>
    <row r="98" spans="1:14" ht="12.75">
      <c r="A98" s="47">
        <v>513</v>
      </c>
      <c r="B98" s="20" t="s">
        <v>71</v>
      </c>
      <c r="C98" s="20"/>
      <c r="D98" s="20"/>
      <c r="E98" s="20"/>
      <c r="F98" s="20"/>
      <c r="G98" s="20"/>
      <c r="H98" s="76"/>
      <c r="I98" s="87">
        <f>IF('Analyse FMDS'!$Q19=1,1,IF('Analyse FMDS'!$Q19=2,0.7,IF('Analyse FMDS'!$Q19=3,0.3,IF('Analyse FMDS'!$Q19=4,0,IF('Analyse FMDS'!$Q19=5,0.5,"Pas de réponse !")))))</f>
        <v>0.5</v>
      </c>
      <c r="J98" s="61" t="s">
        <v>136</v>
      </c>
      <c r="K98" s="77" t="str">
        <f>IF('Analyse FMDS'!S19=1,"X"," ")</f>
        <v> </v>
      </c>
      <c r="L98" s="58" t="str">
        <f>IF('Analyse FMDS'!T19=1,"X"," ")</f>
        <v> </v>
      </c>
      <c r="M98" s="49" t="str">
        <f t="shared" si="8"/>
        <v> </v>
      </c>
      <c r="N98" s="49" t="str">
        <f t="shared" si="9"/>
        <v> </v>
      </c>
    </row>
    <row r="99" spans="1:14" ht="15">
      <c r="A99" s="74" t="s">
        <v>141</v>
      </c>
      <c r="B99" s="88" t="str">
        <f>IF($G99=1,"X"," ")</f>
        <v> </v>
      </c>
      <c r="C99" s="89" t="str">
        <f>IF($G99=2,"X"," ")</f>
        <v> </v>
      </c>
      <c r="D99" s="90" t="str">
        <f>IF($G99=3,"X"," ")</f>
        <v> </v>
      </c>
      <c r="E99" s="91" t="str">
        <f>IF($G99=4,"X"," ")</f>
        <v> </v>
      </c>
      <c r="F99" s="75" t="s">
        <v>142</v>
      </c>
      <c r="G99" s="79" t="str">
        <f>IF($I99=0,"~",IF($K99="OUI","~",IF($I99&lt;=5,4,IF($I99&lt;=7.8,3,IF($I99&lt;=11,2,IF($I99&gt;11,1," "))))))</f>
        <v>~</v>
      </c>
      <c r="H99" s="64"/>
      <c r="I99" s="80">
        <f>IF('Analyse FMDS'!R20&gt;9,0,SUM(I86:I98))</f>
        <v>0</v>
      </c>
      <c r="J99" s="83" t="s">
        <v>149</v>
      </c>
      <c r="K99" s="82" t="str">
        <f>IF('Analyse FMDS'!R20&gt;9," ",IF(M99&gt;0,"OUI","NON"))</f>
        <v> </v>
      </c>
      <c r="L99" s="82" t="str">
        <f>IF('Analyse FMDS'!R20&gt;9," ",IF(N99&gt;2,"OUI","NON"))</f>
        <v> </v>
      </c>
      <c r="M99" s="58">
        <f>COUNT(M86:M98)</f>
        <v>0</v>
      </c>
      <c r="N99" s="58">
        <f>COUNT(N86:N98)</f>
        <v>0</v>
      </c>
    </row>
    <row r="100" spans="1:12" ht="12.75">
      <c r="A100" s="146" t="s">
        <v>137</v>
      </c>
      <c r="B100" s="147"/>
      <c r="C100" s="65"/>
      <c r="D100" s="66"/>
      <c r="E100" s="66"/>
      <c r="F100" s="67"/>
      <c r="G100" s="68"/>
      <c r="H100" s="65"/>
      <c r="I100" s="69"/>
      <c r="J100" s="70"/>
      <c r="K100" s="71"/>
      <c r="L100" s="72"/>
    </row>
    <row r="101" spans="1:12" ht="19.5" customHeight="1">
      <c r="A101" s="148" t="str">
        <f>IF('Analyse FMDS'!R20&gt;9," ",IF(K99="OUI","Travaillez avant tout sur les points éliminatoires de 1er niveau ! Un effort certain est à fournir...",IF(L99="OUI","Travaillez sur les points éliminatoires de 2e niveau ! Un effort modéré est à fournir pour un gain important...","Maintenez votre niveau et travaillez sur vos points faibles restant !")))</f>
        <v> </v>
      </c>
      <c r="B101" s="149"/>
      <c r="C101" s="149"/>
      <c r="D101" s="149"/>
      <c r="E101" s="149"/>
      <c r="F101" s="149"/>
      <c r="G101" s="149"/>
      <c r="H101" s="150"/>
      <c r="I101" s="151"/>
      <c r="J101" s="151"/>
      <c r="K101" s="151"/>
      <c r="L101" s="152"/>
    </row>
    <row r="102" spans="1:12" ht="19.5" customHeight="1">
      <c r="A102" s="153" t="str">
        <f>IF('Analyse FMDS'!R20&gt;9,"Il y a trop de réponses Sans objet : l'item n'est probablement pas maîtrisé ou inapplicable !",IF(Résultats!K99="OUI","Votre note ne reflète pas votre maîtrise tant qu'il reste des points éliminatoires de premier niveau !"," "))</f>
        <v>Il y a trop de réponses Sans objet : l'item n'est probablement pas maîtrisé ou inapplicable !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5"/>
    </row>
    <row r="103" spans="1:12" ht="15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0"/>
      <c r="K103" s="100"/>
      <c r="L103" s="100"/>
    </row>
    <row r="104" spans="1:12" ht="12.75">
      <c r="A104" s="100"/>
      <c r="B104" s="100"/>
      <c r="C104" s="100"/>
      <c r="D104" s="100"/>
      <c r="E104" s="100"/>
      <c r="F104" s="100"/>
      <c r="G104" s="100"/>
      <c r="H104" s="100"/>
      <c r="I104" s="101"/>
      <c r="J104" s="100"/>
      <c r="K104" s="100"/>
      <c r="L104" s="100"/>
    </row>
    <row r="105" spans="1:12" ht="12.75">
      <c r="A105" s="4"/>
      <c r="B105" s="162" t="s">
        <v>85</v>
      </c>
      <c r="C105" s="184"/>
      <c r="D105" s="184"/>
      <c r="E105" s="184"/>
      <c r="F105" s="184"/>
      <c r="G105" s="184"/>
      <c r="H105" s="185"/>
      <c r="I105" s="156" t="s">
        <v>134</v>
      </c>
      <c r="J105" s="157"/>
      <c r="K105" s="160" t="s">
        <v>133</v>
      </c>
      <c r="L105" s="161"/>
    </row>
    <row r="106" spans="1:14" ht="12.75">
      <c r="A106" s="4"/>
      <c r="B106" s="186"/>
      <c r="C106" s="187"/>
      <c r="D106" s="187"/>
      <c r="E106" s="187"/>
      <c r="F106" s="187"/>
      <c r="G106" s="187"/>
      <c r="H106" s="188"/>
      <c r="I106" s="182"/>
      <c r="J106" s="183"/>
      <c r="K106" s="60" t="s">
        <v>140</v>
      </c>
      <c r="L106" s="60" t="s">
        <v>144</v>
      </c>
      <c r="M106" s="13" t="s">
        <v>139</v>
      </c>
      <c r="N106" s="13" t="s">
        <v>147</v>
      </c>
    </row>
    <row r="107" spans="1:14" ht="12.75">
      <c r="A107" s="47">
        <v>601</v>
      </c>
      <c r="B107" s="139" t="s">
        <v>76</v>
      </c>
      <c r="C107" s="139"/>
      <c r="D107" s="139"/>
      <c r="E107" s="139"/>
      <c r="F107" s="139"/>
      <c r="G107" s="139"/>
      <c r="H107" s="168"/>
      <c r="I107" s="87">
        <f>IF('Analyse des coûts'!$Q7=1,1,IF('Analyse des coûts'!$Q7=2,0.7,IF('Analyse des coûts'!$Q7=3,0.3,IF('Analyse des coûts'!$Q7=4,0,IF('Analyse des coûts'!$Q7=5,0.5,"Pas de réponse !")))))</f>
        <v>0.5</v>
      </c>
      <c r="J107" s="61" t="s">
        <v>136</v>
      </c>
      <c r="K107" s="77" t="str">
        <f>IF('Analyse des coûts'!S7=1,"X"," ")</f>
        <v> </v>
      </c>
      <c r="L107" s="58" t="str">
        <f>IF('Analyse des coûts'!T7=1,"X"," ")</f>
        <v> </v>
      </c>
      <c r="M107" s="49" t="str">
        <f>IF(K107="X",1," ")</f>
        <v> </v>
      </c>
      <c r="N107" s="49" t="str">
        <f>IF(L107="X",1," ")</f>
        <v> </v>
      </c>
    </row>
    <row r="108" spans="1:14" ht="12.75">
      <c r="A108" s="47">
        <v>602</v>
      </c>
      <c r="B108" s="139" t="s">
        <v>77</v>
      </c>
      <c r="C108" s="139"/>
      <c r="D108" s="139"/>
      <c r="E108" s="139"/>
      <c r="F108" s="139"/>
      <c r="G108" s="139"/>
      <c r="H108" s="168"/>
      <c r="I108" s="87">
        <f>IF('Analyse des coûts'!$Q8=1,1,IF('Analyse des coûts'!$Q8=2,0.7,IF('Analyse des coûts'!$Q8=3,0.3,IF('Analyse des coûts'!$Q8=4,0,IF('Analyse des coûts'!$Q8=5,0.5,"Pas de réponse !")))))</f>
        <v>0.5</v>
      </c>
      <c r="J108" s="61" t="s">
        <v>136</v>
      </c>
      <c r="K108" s="77" t="str">
        <f>IF('Analyse des coûts'!S8=1,"X"," ")</f>
        <v> </v>
      </c>
      <c r="L108" s="58" t="str">
        <f>IF('Analyse des coûts'!T8=1,"X"," ")</f>
        <v> </v>
      </c>
      <c r="M108" s="49" t="str">
        <f aca="true" t="shared" si="10" ref="M108:M116">IF(K108="X",1," ")</f>
        <v> </v>
      </c>
      <c r="N108" s="49" t="str">
        <f aca="true" t="shared" si="11" ref="N108:N116">IF(L108="X",1," ")</f>
        <v> </v>
      </c>
    </row>
    <row r="109" spans="1:14" ht="12.75">
      <c r="A109" s="47">
        <v>603</v>
      </c>
      <c r="B109" s="139" t="s">
        <v>78</v>
      </c>
      <c r="C109" s="139"/>
      <c r="D109" s="139"/>
      <c r="E109" s="139"/>
      <c r="F109" s="139"/>
      <c r="G109" s="139"/>
      <c r="H109" s="168"/>
      <c r="I109" s="87">
        <f>IF('Analyse des coûts'!$Q9=1,1,IF('Analyse des coûts'!$Q9=2,0.7,IF('Analyse des coûts'!$Q9=3,0.3,IF('Analyse des coûts'!$Q9=4,0,IF('Analyse des coûts'!$Q9=5,0.5,"Pas de réponse !")))))</f>
        <v>0.5</v>
      </c>
      <c r="J109" s="61" t="s">
        <v>136</v>
      </c>
      <c r="K109" s="77" t="str">
        <f>IF('Analyse des coûts'!S9=1,"X"," ")</f>
        <v> </v>
      </c>
      <c r="L109" s="58" t="str">
        <f>IF('Analyse des coûts'!T9=1,"X"," ")</f>
        <v> </v>
      </c>
      <c r="M109" s="49" t="str">
        <f t="shared" si="10"/>
        <v> </v>
      </c>
      <c r="N109" s="49" t="str">
        <f t="shared" si="11"/>
        <v> </v>
      </c>
    </row>
    <row r="110" spans="1:14" ht="12.75">
      <c r="A110" s="47">
        <v>604</v>
      </c>
      <c r="B110" s="139" t="s">
        <v>79</v>
      </c>
      <c r="C110" s="139"/>
      <c r="D110" s="139"/>
      <c r="E110" s="139"/>
      <c r="F110" s="139"/>
      <c r="G110" s="139"/>
      <c r="H110" s="168"/>
      <c r="I110" s="87">
        <f>IF('Analyse des coûts'!$Q10=1,1,IF('Analyse des coûts'!$Q10=2,0.7,IF('Analyse des coûts'!$Q10=3,0.3,IF('Analyse des coûts'!$Q10=4,0,IF('Analyse des coûts'!$Q10=5,0.5,"Pas de réponse !")))))</f>
        <v>0.5</v>
      </c>
      <c r="J110" s="61" t="s">
        <v>136</v>
      </c>
      <c r="K110" s="77" t="str">
        <f>IF('Analyse des coûts'!S10=1,"X"," ")</f>
        <v> </v>
      </c>
      <c r="L110" s="58" t="str">
        <f>IF('Analyse des coûts'!T10=1,"X"," ")</f>
        <v> </v>
      </c>
      <c r="M110" s="49" t="str">
        <f t="shared" si="10"/>
        <v> </v>
      </c>
      <c r="N110" s="49" t="str">
        <f t="shared" si="11"/>
        <v> </v>
      </c>
    </row>
    <row r="111" spans="1:14" ht="12.75">
      <c r="A111" s="47">
        <v>605</v>
      </c>
      <c r="B111" s="20" t="s">
        <v>86</v>
      </c>
      <c r="C111" s="20"/>
      <c r="D111" s="20"/>
      <c r="E111" s="20"/>
      <c r="F111" s="20"/>
      <c r="G111" s="20"/>
      <c r="H111" s="76"/>
      <c r="I111" s="87">
        <f>IF('Analyse des coûts'!$Q11=1,1,IF('Analyse des coûts'!$Q11=2,0.7,IF('Analyse des coûts'!$Q11=3,0.3,IF('Analyse des coûts'!$Q11=4,0,IF('Analyse des coûts'!$Q11=5,0.5,"Pas de réponse !")))))</f>
        <v>0.5</v>
      </c>
      <c r="J111" s="61" t="s">
        <v>136</v>
      </c>
      <c r="K111" s="77" t="str">
        <f>IF('Analyse des coûts'!S11=1,"X"," ")</f>
        <v> </v>
      </c>
      <c r="L111" s="58" t="str">
        <f>IF('Analyse des coûts'!T11=1,"X"," ")</f>
        <v> </v>
      </c>
      <c r="M111" s="49" t="str">
        <f t="shared" si="10"/>
        <v> </v>
      </c>
      <c r="N111" s="49" t="str">
        <f t="shared" si="11"/>
        <v> </v>
      </c>
    </row>
    <row r="112" spans="1:14" ht="12.75">
      <c r="A112" s="47">
        <v>606</v>
      </c>
      <c r="B112" s="139" t="s">
        <v>80</v>
      </c>
      <c r="C112" s="139"/>
      <c r="D112" s="139"/>
      <c r="E112" s="139"/>
      <c r="F112" s="139"/>
      <c r="G112" s="139"/>
      <c r="H112" s="168"/>
      <c r="I112" s="87">
        <f>IF('Analyse des coûts'!$Q12=1,1,IF('Analyse des coûts'!$Q12=2,0.7,IF('Analyse des coûts'!$Q12=3,0.3,IF('Analyse des coûts'!$Q12=4,0,IF('Analyse des coûts'!$Q12=5,0.5,"Pas de réponse !")))))</f>
        <v>0.5</v>
      </c>
      <c r="J112" s="61" t="s">
        <v>136</v>
      </c>
      <c r="K112" s="77" t="str">
        <f>IF('Analyse des coûts'!S12=1,"X"," ")</f>
        <v> </v>
      </c>
      <c r="L112" s="58" t="str">
        <f>IF('Analyse des coûts'!T12=1,"X"," ")</f>
        <v> </v>
      </c>
      <c r="M112" s="49" t="str">
        <f t="shared" si="10"/>
        <v> </v>
      </c>
      <c r="N112" s="49" t="str">
        <f t="shared" si="11"/>
        <v> </v>
      </c>
    </row>
    <row r="113" spans="1:14" ht="12.75">
      <c r="A113" s="47">
        <v>607</v>
      </c>
      <c r="B113" s="139" t="s">
        <v>81</v>
      </c>
      <c r="C113" s="139"/>
      <c r="D113" s="139"/>
      <c r="E113" s="139"/>
      <c r="F113" s="139"/>
      <c r="G113" s="139"/>
      <c r="H113" s="168"/>
      <c r="I113" s="87">
        <f>IF('Analyse des coûts'!$Q13=1,1,IF('Analyse des coûts'!$Q13=2,0.7,IF('Analyse des coûts'!$Q13=3,0.3,IF('Analyse des coûts'!$Q13=4,0,IF('Analyse des coûts'!$Q13=5,0.5,"Pas de réponse !")))))</f>
        <v>0.5</v>
      </c>
      <c r="J113" s="61" t="s">
        <v>136</v>
      </c>
      <c r="K113" s="77" t="str">
        <f>IF('Analyse des coûts'!S13=1,"X"," ")</f>
        <v> </v>
      </c>
      <c r="L113" s="58" t="str">
        <f>IF('Analyse des coûts'!T13=1,"X"," ")</f>
        <v> </v>
      </c>
      <c r="M113" s="49" t="str">
        <f t="shared" si="10"/>
        <v> </v>
      </c>
      <c r="N113" s="49" t="str">
        <f t="shared" si="11"/>
        <v> </v>
      </c>
    </row>
    <row r="114" spans="1:14" ht="12.75">
      <c r="A114" s="47">
        <v>608</v>
      </c>
      <c r="B114" s="139" t="s">
        <v>82</v>
      </c>
      <c r="C114" s="139"/>
      <c r="D114" s="139"/>
      <c r="E114" s="139"/>
      <c r="F114" s="139"/>
      <c r="G114" s="139"/>
      <c r="H114" s="168"/>
      <c r="I114" s="87">
        <f>IF('Analyse des coûts'!$Q14=1,1,IF('Analyse des coûts'!$Q14=2,0.7,IF('Analyse des coûts'!$Q14=3,0.3,IF('Analyse des coûts'!$Q14=4,0,IF('Analyse des coûts'!$Q14=5,0.5,"Pas de réponse !")))))</f>
        <v>0.5</v>
      </c>
      <c r="J114" s="61" t="s">
        <v>136</v>
      </c>
      <c r="K114" s="77" t="str">
        <f>IF('Analyse des coûts'!S14=1,"X"," ")</f>
        <v> </v>
      </c>
      <c r="L114" s="58" t="str">
        <f>IF('Analyse des coûts'!T14=1,"X"," ")</f>
        <v> </v>
      </c>
      <c r="M114" s="49" t="str">
        <f t="shared" si="10"/>
        <v> </v>
      </c>
      <c r="N114" s="49" t="str">
        <f t="shared" si="11"/>
        <v> </v>
      </c>
    </row>
    <row r="115" spans="1:14" ht="12.75">
      <c r="A115" s="47">
        <v>609</v>
      </c>
      <c r="B115" s="139" t="s">
        <v>83</v>
      </c>
      <c r="C115" s="139"/>
      <c r="D115" s="139"/>
      <c r="E115" s="139"/>
      <c r="F115" s="139"/>
      <c r="G115" s="139"/>
      <c r="H115" s="168"/>
      <c r="I115" s="87">
        <f>IF('Analyse des coûts'!$Q15=1,1,IF('Analyse des coûts'!$Q15=2,0.7,IF('Analyse des coûts'!$Q15=3,0.3,IF('Analyse des coûts'!$Q15=4,0,IF('Analyse des coûts'!$Q15=5,0.5,"Pas de réponse !")))))</f>
        <v>0.5</v>
      </c>
      <c r="J115" s="61" t="s">
        <v>136</v>
      </c>
      <c r="K115" s="77" t="str">
        <f>IF('Analyse des coûts'!S15=1,"X"," ")</f>
        <v> </v>
      </c>
      <c r="L115" s="58" t="str">
        <f>IF('Analyse des coûts'!T15=1,"X"," ")</f>
        <v> </v>
      </c>
      <c r="M115" s="49" t="str">
        <f t="shared" si="10"/>
        <v> </v>
      </c>
      <c r="N115" s="49" t="str">
        <f t="shared" si="11"/>
        <v> </v>
      </c>
    </row>
    <row r="116" spans="1:14" ht="12.75">
      <c r="A116" s="47">
        <v>610</v>
      </c>
      <c r="B116" s="139" t="s">
        <v>84</v>
      </c>
      <c r="C116" s="139"/>
      <c r="D116" s="139"/>
      <c r="E116" s="139"/>
      <c r="F116" s="139"/>
      <c r="G116" s="139"/>
      <c r="H116" s="168"/>
      <c r="I116" s="87">
        <f>IF('Analyse des coûts'!$Q16=1,1,IF('Analyse des coûts'!$Q16=2,0.7,IF('Analyse des coûts'!$Q16=3,0.3,IF('Analyse des coûts'!$Q16=4,0,IF('Analyse des coûts'!$Q16=5,0.5,"Pas de réponse !")))))</f>
        <v>0.5</v>
      </c>
      <c r="J116" s="61" t="s">
        <v>136</v>
      </c>
      <c r="K116" s="77" t="str">
        <f>IF('Analyse des coûts'!S16=1,"X"," ")</f>
        <v> </v>
      </c>
      <c r="L116" s="58" t="str">
        <f>IF('Analyse des coûts'!T16=1,"X"," ")</f>
        <v> </v>
      </c>
      <c r="M116" s="49" t="str">
        <f t="shared" si="10"/>
        <v> </v>
      </c>
      <c r="N116" s="49" t="str">
        <f t="shared" si="11"/>
        <v> </v>
      </c>
    </row>
    <row r="117" spans="1:14" ht="15">
      <c r="A117" s="74" t="s">
        <v>141</v>
      </c>
      <c r="B117" s="88" t="str">
        <f>IF($G117=1,"X"," ")</f>
        <v> </v>
      </c>
      <c r="C117" s="89" t="str">
        <f>IF($G117=2,"X"," ")</f>
        <v> </v>
      </c>
      <c r="D117" s="90" t="str">
        <f>IF($G117=3,"X"," ")</f>
        <v> </v>
      </c>
      <c r="E117" s="91" t="str">
        <f>IF($G117=4,"X"," ")</f>
        <v> </v>
      </c>
      <c r="F117" s="75" t="s">
        <v>142</v>
      </c>
      <c r="G117" s="79" t="str">
        <f>IF($I117=0,"~",IF($K117="OUI","~",IF($I117&lt;=2,4,IF($I117&lt;=4,3,IF($I117&lt;=7,2,IF($I117&gt;7,1," "))))))</f>
        <v>~</v>
      </c>
      <c r="H117" s="64"/>
      <c r="I117" s="80">
        <f>IF('Analyse des coûts'!R17&gt;7,0,SUM(I107:I116))</f>
        <v>0</v>
      </c>
      <c r="J117" s="83" t="s">
        <v>148</v>
      </c>
      <c r="K117" s="82" t="str">
        <f>IF('Analyse des coûts'!R17&gt;7," ",IF(M117&gt;0,"OUI","NON"))</f>
        <v> </v>
      </c>
      <c r="L117" s="82" t="str">
        <f>IF('Analyse des coûts'!R17&gt;7," ",IF(N117&gt;3,"OUI","NON"))</f>
        <v> </v>
      </c>
      <c r="M117" s="58">
        <f>COUNT(M104:M116)</f>
        <v>0</v>
      </c>
      <c r="N117" s="58">
        <f>COUNT(N104:N116)</f>
        <v>0</v>
      </c>
    </row>
    <row r="118" spans="1:12" ht="12.75">
      <c r="A118" s="146" t="s">
        <v>137</v>
      </c>
      <c r="B118" s="147"/>
      <c r="C118" s="65"/>
      <c r="D118" s="66"/>
      <c r="E118" s="66"/>
      <c r="F118" s="67"/>
      <c r="G118" s="68"/>
      <c r="H118" s="65"/>
      <c r="I118" s="69"/>
      <c r="J118" s="70"/>
      <c r="K118" s="71"/>
      <c r="L118" s="72"/>
    </row>
    <row r="119" spans="1:12" ht="19.5" customHeight="1">
      <c r="A119" s="148" t="str">
        <f>IF('Analyse des coûts'!R17&gt;7," ",IF(K117="OUI","Travaillez avant tout sur les points éliminatoires de 1er niveau ! Un effort certain est à fournir...",IF(L117="OUI","Travaillez sur les points éliminatoires de 2e niveau ! Un effort modéré est à fournir pour un gain important...","Maintenez votre niveau et travaillez sur vos points faibles restant !")))</f>
        <v> </v>
      </c>
      <c r="B119" s="149"/>
      <c r="C119" s="149"/>
      <c r="D119" s="149"/>
      <c r="E119" s="149"/>
      <c r="F119" s="149"/>
      <c r="G119" s="149"/>
      <c r="H119" s="150"/>
      <c r="I119" s="151"/>
      <c r="J119" s="151"/>
      <c r="K119" s="151"/>
      <c r="L119" s="152"/>
    </row>
    <row r="120" spans="1:12" ht="19.5" customHeight="1">
      <c r="A120" s="153" t="str">
        <f>IF('Analyse des coûts'!R17&gt;7,"Il y a trop de réponses Sans objet : l'item n'est probablement pas maîtrisé ou inapplicable !",IF(Résultats!K117="OUI","Votre note ne reflète pas votre maîtrise tant qu'il reste des points éliminatoires de premier niveau !"," "))</f>
        <v>Il y a trop de réponses Sans objet : l'item n'est probablement pas maîtrisé ou inapplicable !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5"/>
    </row>
    <row r="121" spans="1:12" ht="15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0"/>
      <c r="K121" s="100"/>
      <c r="L121" s="100"/>
    </row>
    <row r="122" spans="1:12" ht="12.75">
      <c r="A122" s="65"/>
      <c r="B122" s="106"/>
      <c r="C122" s="106"/>
      <c r="D122" s="106"/>
      <c r="E122" s="106"/>
      <c r="F122" s="106"/>
      <c r="G122" s="106"/>
      <c r="H122" s="106"/>
      <c r="I122" s="107"/>
      <c r="J122" s="100"/>
      <c r="K122" s="100"/>
      <c r="L122" s="100"/>
    </row>
    <row r="123" spans="1:12" ht="12.75">
      <c r="A123" s="4"/>
      <c r="B123" s="162" t="s">
        <v>96</v>
      </c>
      <c r="C123" s="184"/>
      <c r="D123" s="184"/>
      <c r="E123" s="184"/>
      <c r="F123" s="184"/>
      <c r="G123" s="184"/>
      <c r="H123" s="185"/>
      <c r="I123" s="156" t="s">
        <v>134</v>
      </c>
      <c r="J123" s="157"/>
      <c r="K123" s="160" t="s">
        <v>133</v>
      </c>
      <c r="L123" s="161"/>
    </row>
    <row r="124" spans="1:14" ht="12.75">
      <c r="A124" s="4"/>
      <c r="B124" s="186"/>
      <c r="C124" s="187"/>
      <c r="D124" s="187"/>
      <c r="E124" s="187"/>
      <c r="F124" s="187"/>
      <c r="G124" s="187"/>
      <c r="H124" s="188"/>
      <c r="I124" s="158"/>
      <c r="J124" s="159"/>
      <c r="K124" s="60" t="s">
        <v>140</v>
      </c>
      <c r="L124" s="60" t="s">
        <v>144</v>
      </c>
      <c r="M124" s="13" t="s">
        <v>139</v>
      </c>
      <c r="N124" s="13" t="s">
        <v>147</v>
      </c>
    </row>
    <row r="125" spans="1:14" ht="12.75">
      <c r="A125" s="47">
        <v>701</v>
      </c>
      <c r="B125" s="20" t="s">
        <v>88</v>
      </c>
      <c r="C125" s="20"/>
      <c r="D125" s="20"/>
      <c r="E125" s="20"/>
      <c r="F125" s="20"/>
      <c r="G125" s="20"/>
      <c r="H125" s="76"/>
      <c r="I125" s="87">
        <f>IF('Base de données'!$Q7=1,1,IF('Base de données'!$Q7=2,0.7,IF('Base de données'!$Q7=3,0.3,IF('Base de données'!$Q7=4,0,IF('Base de données'!$Q7=5,0.5,"Pas de réponse !")))))</f>
        <v>0.5</v>
      </c>
      <c r="J125" s="78" t="s">
        <v>136</v>
      </c>
      <c r="K125" s="77" t="str">
        <f>IF('Base de données'!S7=1,"X"," ")</f>
        <v> </v>
      </c>
      <c r="L125" s="58" t="str">
        <f>IF('Base de données'!T7=1,"X"," ")</f>
        <v> </v>
      </c>
      <c r="M125" s="49" t="str">
        <f>IF(K125="X",1," ")</f>
        <v> </v>
      </c>
      <c r="N125" s="49" t="str">
        <f>IF(L125="X",1," ")</f>
        <v> </v>
      </c>
    </row>
    <row r="126" spans="1:14" ht="12.75">
      <c r="A126" s="47">
        <v>702</v>
      </c>
      <c r="B126" s="20" t="s">
        <v>89</v>
      </c>
      <c r="C126" s="20"/>
      <c r="D126" s="20"/>
      <c r="E126" s="20"/>
      <c r="F126" s="20"/>
      <c r="G126" s="20"/>
      <c r="H126" s="76"/>
      <c r="I126" s="87">
        <f>IF('Base de données'!$Q8=1,1,IF('Base de données'!$Q8=2,0.7,IF('Base de données'!$Q8=3,0.3,IF('Base de données'!$Q8=4,0,IF('Base de données'!$Q8=5,0.5,"Pas de réponse !")))))</f>
        <v>0.5</v>
      </c>
      <c r="J126" s="61" t="s">
        <v>136</v>
      </c>
      <c r="K126" s="77" t="str">
        <f>IF('Base de données'!S8=1,"X"," ")</f>
        <v> </v>
      </c>
      <c r="L126" s="58" t="str">
        <f>IF('Base de données'!T8=1,"X"," ")</f>
        <v> </v>
      </c>
      <c r="M126" s="49" t="str">
        <f aca="true" t="shared" si="12" ref="M126:M133">IF(K126="X",1," ")</f>
        <v> </v>
      </c>
      <c r="N126" s="49" t="str">
        <f aca="true" t="shared" si="13" ref="N126:N133">IF(L126="X",1," ")</f>
        <v> </v>
      </c>
    </row>
    <row r="127" spans="1:14" ht="12.75">
      <c r="A127" s="47">
        <v>703</v>
      </c>
      <c r="B127" s="20" t="s">
        <v>90</v>
      </c>
      <c r="C127" s="20"/>
      <c r="D127" s="20"/>
      <c r="E127" s="20"/>
      <c r="F127" s="20"/>
      <c r="G127" s="20"/>
      <c r="H127" s="76"/>
      <c r="I127" s="87">
        <f>IF('Base de données'!$Q9=1,1,IF('Base de données'!$Q9=2,0.7,IF('Base de données'!$Q9=3,0.3,IF('Base de données'!$Q9=4,0,IF('Base de données'!$Q9=5,0.5,"Pas de réponse !")))))</f>
        <v>0.5</v>
      </c>
      <c r="J127" s="61" t="s">
        <v>136</v>
      </c>
      <c r="K127" s="77" t="str">
        <f>IF('Base de données'!S9=1,"X"," ")</f>
        <v> </v>
      </c>
      <c r="L127" s="58" t="str">
        <f>IF('Base de données'!T9=1,"X"," ")</f>
        <v> </v>
      </c>
      <c r="M127" s="49" t="str">
        <f t="shared" si="12"/>
        <v> </v>
      </c>
      <c r="N127" s="49" t="str">
        <f t="shared" si="13"/>
        <v> </v>
      </c>
    </row>
    <row r="128" spans="1:14" ht="12.75">
      <c r="A128" s="47">
        <v>704</v>
      </c>
      <c r="B128" s="20" t="s">
        <v>91</v>
      </c>
      <c r="C128" s="20"/>
      <c r="D128" s="20"/>
      <c r="E128" s="20"/>
      <c r="F128" s="20"/>
      <c r="G128" s="20"/>
      <c r="H128" s="76"/>
      <c r="I128" s="87">
        <f>IF('Base de données'!$Q10=1,1,IF('Base de données'!$Q10=2,0.7,IF('Base de données'!$Q10=3,0.3,IF('Base de données'!$Q10=4,0,IF('Base de données'!$Q10=5,0.5,"Pas de réponse !")))))</f>
        <v>0.5</v>
      </c>
      <c r="J128" s="61" t="s">
        <v>136</v>
      </c>
      <c r="K128" s="77" t="str">
        <f>IF('Base de données'!S10=1,"X"," ")</f>
        <v> </v>
      </c>
      <c r="L128" s="58" t="str">
        <f>IF('Base de données'!T10=1,"X"," ")</f>
        <v> </v>
      </c>
      <c r="M128" s="49" t="str">
        <f t="shared" si="12"/>
        <v> </v>
      </c>
      <c r="N128" s="49" t="str">
        <f t="shared" si="13"/>
        <v> </v>
      </c>
    </row>
    <row r="129" spans="1:14" ht="12.75">
      <c r="A129" s="47">
        <v>705</v>
      </c>
      <c r="B129" s="20" t="s">
        <v>92</v>
      </c>
      <c r="C129" s="20"/>
      <c r="D129" s="20"/>
      <c r="E129" s="20"/>
      <c r="F129" s="20"/>
      <c r="G129" s="20"/>
      <c r="H129" s="76"/>
      <c r="I129" s="87">
        <f>IF('Base de données'!$Q11=1,1,IF('Base de données'!$Q11=2,0.7,IF('Base de données'!$Q11=3,0.3,IF('Base de données'!$Q11=4,0,IF('Base de données'!$Q11=5,0.5,"Pas de réponse !")))))</f>
        <v>0.5</v>
      </c>
      <c r="J129" s="61" t="s">
        <v>136</v>
      </c>
      <c r="K129" s="77" t="str">
        <f>IF('Base de données'!S11=1,"X"," ")</f>
        <v> </v>
      </c>
      <c r="L129" s="58" t="str">
        <f>IF('Base de données'!T11=1,"X"," ")</f>
        <v> </v>
      </c>
      <c r="M129" s="49" t="str">
        <f t="shared" si="12"/>
        <v> </v>
      </c>
      <c r="N129" s="49" t="str">
        <f t="shared" si="13"/>
        <v> </v>
      </c>
    </row>
    <row r="130" spans="1:14" ht="12.75">
      <c r="A130" s="47">
        <v>706</v>
      </c>
      <c r="B130" s="20" t="s">
        <v>93</v>
      </c>
      <c r="C130" s="20"/>
      <c r="D130" s="20"/>
      <c r="E130" s="20"/>
      <c r="F130" s="20"/>
      <c r="G130" s="20"/>
      <c r="H130" s="76"/>
      <c r="I130" s="87">
        <f>IF('Base de données'!$Q12=1,1,IF('Base de données'!$Q12=2,0.7,IF('Base de données'!$Q12=3,0.3,IF('Base de données'!$Q12=4,0,IF('Base de données'!$Q12=5,0.5,"Pas de réponse !")))))</f>
        <v>0.5</v>
      </c>
      <c r="J130" s="61" t="s">
        <v>136</v>
      </c>
      <c r="K130" s="77" t="str">
        <f>IF('Base de données'!S12=1,"X"," ")</f>
        <v> </v>
      </c>
      <c r="L130" s="58" t="str">
        <f>IF('Base de données'!T12=1,"X"," ")</f>
        <v> </v>
      </c>
      <c r="M130" s="49" t="str">
        <f t="shared" si="12"/>
        <v> </v>
      </c>
      <c r="N130" s="49" t="str">
        <f t="shared" si="13"/>
        <v> </v>
      </c>
    </row>
    <row r="131" spans="1:14" ht="12.75">
      <c r="A131" s="47">
        <v>707</v>
      </c>
      <c r="B131" s="20" t="s">
        <v>94</v>
      </c>
      <c r="C131" s="20"/>
      <c r="D131" s="20"/>
      <c r="E131" s="20"/>
      <c r="F131" s="20"/>
      <c r="G131" s="20"/>
      <c r="H131" s="76"/>
      <c r="I131" s="87">
        <f>IF('Base de données'!$Q13=1,1,IF('Base de données'!$Q13=2,0.7,IF('Base de données'!$Q13=3,0.3,IF('Base de données'!$Q13=4,0,IF('Base de données'!$Q13=5,0.5,"Pas de réponse !")))))</f>
        <v>0.5</v>
      </c>
      <c r="J131" s="61" t="s">
        <v>136</v>
      </c>
      <c r="K131" s="77" t="str">
        <f>IF('Base de données'!S13=1,"X"," ")</f>
        <v> </v>
      </c>
      <c r="L131" s="58" t="str">
        <f>IF('Base de données'!T13=1,"X"," ")</f>
        <v> </v>
      </c>
      <c r="M131" s="49" t="str">
        <f t="shared" si="12"/>
        <v> </v>
      </c>
      <c r="N131" s="49" t="str">
        <f t="shared" si="13"/>
        <v> </v>
      </c>
    </row>
    <row r="132" spans="1:14" ht="12.75">
      <c r="A132" s="47">
        <v>708</v>
      </c>
      <c r="B132" s="20" t="s">
        <v>15</v>
      </c>
      <c r="C132" s="20"/>
      <c r="D132" s="20"/>
      <c r="E132" s="20"/>
      <c r="F132" s="20"/>
      <c r="G132" s="20"/>
      <c r="H132" s="76"/>
      <c r="I132" s="87">
        <f>IF('Base de données'!$Q14=1,1,IF('Base de données'!$Q14=2,0.7,IF('Base de données'!$Q14=3,0.3,IF('Base de données'!$Q14=4,0,IF('Base de données'!$Q14=5,0.5,"Pas de réponse !")))))</f>
        <v>0.5</v>
      </c>
      <c r="J132" s="61" t="s">
        <v>136</v>
      </c>
      <c r="K132" s="77" t="str">
        <f>IF('Base de données'!S14=1,"X"," ")</f>
        <v> </v>
      </c>
      <c r="L132" s="58" t="str">
        <f>IF('Base de données'!T14=1,"X"," ")</f>
        <v> </v>
      </c>
      <c r="M132" s="49" t="str">
        <f t="shared" si="12"/>
        <v> </v>
      </c>
      <c r="N132" s="49" t="str">
        <f t="shared" si="13"/>
        <v> </v>
      </c>
    </row>
    <row r="133" spans="1:14" ht="12.75">
      <c r="A133" s="47">
        <v>709</v>
      </c>
      <c r="B133" s="20" t="s">
        <v>95</v>
      </c>
      <c r="C133" s="20"/>
      <c r="D133" s="20"/>
      <c r="E133" s="20"/>
      <c r="F133" s="20"/>
      <c r="G133" s="20"/>
      <c r="H133" s="76"/>
      <c r="I133" s="87">
        <f>IF('Base de données'!$Q15=1,1,IF('Base de données'!$Q15=2,0.7,IF('Base de données'!$Q15=3,0.3,IF('Base de données'!$Q15=4,0,IF('Base de données'!$Q15=5,0.5,"Pas de réponse !")))))</f>
        <v>0.5</v>
      </c>
      <c r="J133" s="61" t="s">
        <v>136</v>
      </c>
      <c r="K133" s="77" t="str">
        <f>IF('Base de données'!S15=1,"X"," ")</f>
        <v> </v>
      </c>
      <c r="L133" s="58" t="str">
        <f>IF('Base de données'!T15=1,"X"," ")</f>
        <v> </v>
      </c>
      <c r="M133" s="49" t="str">
        <f t="shared" si="12"/>
        <v> </v>
      </c>
      <c r="N133" s="49" t="str">
        <f t="shared" si="13"/>
        <v> </v>
      </c>
    </row>
    <row r="134" spans="1:14" ht="15">
      <c r="A134" s="74" t="s">
        <v>141</v>
      </c>
      <c r="B134" s="88" t="str">
        <f>IF($G134=1,"X"," ")</f>
        <v> </v>
      </c>
      <c r="C134" s="89" t="str">
        <f>IF($G134=2,"X"," ")</f>
        <v> </v>
      </c>
      <c r="D134" s="90" t="str">
        <f>IF($G134=3,"X"," ")</f>
        <v> </v>
      </c>
      <c r="E134" s="91" t="str">
        <f>IF($G134=4,"X"," ")</f>
        <v> </v>
      </c>
      <c r="F134" s="75" t="s">
        <v>142</v>
      </c>
      <c r="G134" s="92" t="str">
        <f>IF($I134=0,"~",IF($K134="OUI","~",IF($I134&lt;=3,4,IF($I134&lt;=4,3,IF($I134&lt;=7,2,IF($I134&gt;7,1," "))))))</f>
        <v>~</v>
      </c>
      <c r="H134" s="64"/>
      <c r="I134" s="80">
        <f>IF('Base de données'!R16&gt;6,0,SUM(I125:I133))</f>
        <v>0</v>
      </c>
      <c r="J134" s="83" t="s">
        <v>148</v>
      </c>
      <c r="K134" s="82" t="str">
        <f>IF('Base de données'!R16&gt;6," ",IF(M134&gt;0,"OUI","NON"))</f>
        <v> </v>
      </c>
      <c r="L134" s="82" t="str">
        <f>IF('Base de données'!R16&gt;6," ",IF(N134&gt;2,"OUI","NON"))</f>
        <v> </v>
      </c>
      <c r="M134" s="58">
        <f>COUNT(M121:M133)</f>
        <v>0</v>
      </c>
      <c r="N134" s="58">
        <f>COUNT(N121:N133)</f>
        <v>0</v>
      </c>
    </row>
    <row r="135" spans="1:12" ht="12.75">
      <c r="A135" s="146" t="s">
        <v>137</v>
      </c>
      <c r="B135" s="147"/>
      <c r="C135" s="65"/>
      <c r="D135" s="66"/>
      <c r="E135" s="66"/>
      <c r="F135" s="67"/>
      <c r="G135" s="68"/>
      <c r="H135" s="65"/>
      <c r="I135" s="69"/>
      <c r="J135" s="70"/>
      <c r="K135" s="71"/>
      <c r="L135" s="72"/>
    </row>
    <row r="136" spans="1:12" ht="19.5" customHeight="1">
      <c r="A136" s="148" t="str">
        <f>IF('Base de données'!R16&gt;6," ",IF(K134="OUI","Travaillez avant tout sur les points éliminatoires de 1er niveau ! Un effort certain est à fournir...",IF(L134="OUI","Travaillez sur les points éliminatoires de 2e niveau ! Un effort modéré est à fournir pour un gain important...","Maintenez votre niveau et travaillez sur vos points faibles restant !")))</f>
        <v> </v>
      </c>
      <c r="B136" s="149"/>
      <c r="C136" s="149"/>
      <c r="D136" s="149"/>
      <c r="E136" s="149"/>
      <c r="F136" s="149"/>
      <c r="G136" s="149"/>
      <c r="H136" s="150"/>
      <c r="I136" s="151"/>
      <c r="J136" s="151"/>
      <c r="K136" s="151"/>
      <c r="L136" s="152"/>
    </row>
    <row r="137" spans="1:12" ht="19.5" customHeight="1">
      <c r="A137" s="153" t="str">
        <f>IF('Base de données'!R16&gt;6,"Il y a trop de réponses Sans objet : l'item n'est probablement pas maîtrisé ou inapplicable !",IF(Résultats!K134="OUI","Votre note ne reflète pas votre maîtrise tant qu'il reste des points éliminatoires de premier niveau !"," "))</f>
        <v>Il y a trop de réponses Sans objet : l'item n'est probablement pas maîtrisé ou inapplicable !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5"/>
    </row>
    <row r="138" spans="1:12" ht="15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0"/>
      <c r="K138" s="100"/>
      <c r="L138" s="100"/>
    </row>
    <row r="139" spans="1:12" ht="12.75">
      <c r="A139" s="100"/>
      <c r="B139" s="100"/>
      <c r="C139" s="100"/>
      <c r="D139" s="100"/>
      <c r="E139" s="100"/>
      <c r="F139" s="100"/>
      <c r="G139" s="100"/>
      <c r="H139" s="100"/>
      <c r="I139" s="101"/>
      <c r="J139" s="100"/>
      <c r="K139" s="100"/>
      <c r="L139" s="100"/>
    </row>
    <row r="140" spans="1:12" ht="12.75">
      <c r="A140" s="4"/>
      <c r="B140" s="162" t="s">
        <v>110</v>
      </c>
      <c r="C140" s="163"/>
      <c r="D140" s="163"/>
      <c r="E140" s="163"/>
      <c r="F140" s="163"/>
      <c r="G140" s="163"/>
      <c r="H140" s="164"/>
      <c r="I140" s="156" t="s">
        <v>134</v>
      </c>
      <c r="J140" s="157"/>
      <c r="K140" s="160" t="s">
        <v>133</v>
      </c>
      <c r="L140" s="161"/>
    </row>
    <row r="141" spans="1:14" ht="12.75">
      <c r="A141" s="4"/>
      <c r="B141" s="165"/>
      <c r="C141" s="166"/>
      <c r="D141" s="166"/>
      <c r="E141" s="166"/>
      <c r="F141" s="166"/>
      <c r="G141" s="166"/>
      <c r="H141" s="167"/>
      <c r="I141" s="158"/>
      <c r="J141" s="159"/>
      <c r="K141" s="60" t="s">
        <v>140</v>
      </c>
      <c r="L141" s="60" t="s">
        <v>144</v>
      </c>
      <c r="M141" s="13" t="s">
        <v>139</v>
      </c>
      <c r="N141" s="13" t="s">
        <v>147</v>
      </c>
    </row>
    <row r="142" spans="1:14" ht="12.75">
      <c r="A142" s="47">
        <v>801</v>
      </c>
      <c r="B142" s="20" t="s">
        <v>98</v>
      </c>
      <c r="C142" s="20"/>
      <c r="D142" s="20"/>
      <c r="E142" s="20"/>
      <c r="F142" s="20"/>
      <c r="G142" s="20"/>
      <c r="H142" s="76"/>
      <c r="I142" s="86">
        <f>IF(Planification!$Q7=1,1,IF(Planification!$Q7=2,0.7,IF(Planification!$Q7=3,0.3,IF(Planification!$Q7=4,0,IF(Planification!$Q7=5,0.5,"Pas de réponse !")))))</f>
        <v>0.5</v>
      </c>
      <c r="J142" s="78" t="s">
        <v>136</v>
      </c>
      <c r="K142" s="58" t="str">
        <f>IF(Planification!S7=1,"X"," ")</f>
        <v> </v>
      </c>
      <c r="L142" s="58" t="str">
        <f>IF(Planification!T7=1,"X"," ")</f>
        <v> </v>
      </c>
      <c r="M142" s="49" t="str">
        <f>IF(K142="X",1," ")</f>
        <v> </v>
      </c>
      <c r="N142" s="49" t="str">
        <f>IF(L142="X",1," ")</f>
        <v> </v>
      </c>
    </row>
    <row r="143" spans="1:14" ht="12.75">
      <c r="A143" s="47">
        <v>802</v>
      </c>
      <c r="B143" s="20" t="s">
        <v>99</v>
      </c>
      <c r="C143" s="20"/>
      <c r="D143" s="20"/>
      <c r="E143" s="20"/>
      <c r="F143" s="20"/>
      <c r="G143" s="20"/>
      <c r="H143" s="76"/>
      <c r="I143" s="86">
        <f>IF(Planification!$Q8=1,1,IF(Planification!$Q8=2,0.7,IF(Planification!$Q8=3,0.3,IF(Planification!$Q8=4,0,IF(Planification!$Q8=5,0.5,"Pas de réponse !")))))</f>
        <v>0.5</v>
      </c>
      <c r="J143" s="61" t="s">
        <v>136</v>
      </c>
      <c r="K143" s="58" t="str">
        <f>IF(Planification!S8=1,"X"," ")</f>
        <v> </v>
      </c>
      <c r="L143" s="58" t="str">
        <f>IF(Planification!T8=1,"X"," ")</f>
        <v> </v>
      </c>
      <c r="M143" s="49" t="str">
        <f aca="true" t="shared" si="14" ref="M143:M153">IF(K143="X",1," ")</f>
        <v> </v>
      </c>
      <c r="N143" s="49" t="str">
        <f aca="true" t="shared" si="15" ref="N143:N153">IF(L143="X",1," ")</f>
        <v> </v>
      </c>
    </row>
    <row r="144" spans="1:14" ht="12.75">
      <c r="A144" s="47">
        <v>803</v>
      </c>
      <c r="B144" s="20" t="s">
        <v>100</v>
      </c>
      <c r="C144" s="20"/>
      <c r="D144" s="20"/>
      <c r="E144" s="20"/>
      <c r="F144" s="20"/>
      <c r="G144" s="20"/>
      <c r="H144" s="76"/>
      <c r="I144" s="86">
        <f>IF(Planification!$Q9=1,1,IF(Planification!$Q9=2,0.7,IF(Planification!$Q9=3,0.3,IF(Planification!$Q9=4,0,IF(Planification!$Q9=5,0.5,"Pas de réponse !")))))</f>
        <v>0.5</v>
      </c>
      <c r="J144" s="61" t="s">
        <v>136</v>
      </c>
      <c r="K144" s="58" t="str">
        <f>IF(Planification!S9=1,"X"," ")</f>
        <v> </v>
      </c>
      <c r="L144" s="58" t="str">
        <f>IF(Planification!T9=1,"X"," ")</f>
        <v> </v>
      </c>
      <c r="M144" s="49" t="str">
        <f t="shared" si="14"/>
        <v> </v>
      </c>
      <c r="N144" s="49" t="str">
        <f t="shared" si="15"/>
        <v> </v>
      </c>
    </row>
    <row r="145" spans="1:14" ht="12.75">
      <c r="A145" s="47">
        <v>804</v>
      </c>
      <c r="B145" s="20" t="s">
        <v>101</v>
      </c>
      <c r="C145" s="20"/>
      <c r="D145" s="20"/>
      <c r="E145" s="20"/>
      <c r="F145" s="20"/>
      <c r="G145" s="20"/>
      <c r="H145" s="76"/>
      <c r="I145" s="86">
        <f>IF(Planification!$Q10=1,1,IF(Planification!$Q10=2,0.7,IF(Planification!$Q10=3,0.3,IF(Planification!$Q10=4,0,IF(Planification!$Q10=5,0.5,"Pas de réponse !")))))</f>
        <v>0.5</v>
      </c>
      <c r="J145" s="61" t="s">
        <v>136</v>
      </c>
      <c r="K145" s="58" t="str">
        <f>IF(Planification!S10=1,"X"," ")</f>
        <v> </v>
      </c>
      <c r="L145" s="58" t="str">
        <f>IF(Planification!T10=1,"X"," ")</f>
        <v> </v>
      </c>
      <c r="M145" s="49" t="str">
        <f t="shared" si="14"/>
        <v> </v>
      </c>
      <c r="N145" s="49" t="str">
        <f t="shared" si="15"/>
        <v> </v>
      </c>
    </row>
    <row r="146" spans="1:14" ht="12.75">
      <c r="A146" s="47">
        <v>805</v>
      </c>
      <c r="B146" s="20" t="s">
        <v>102</v>
      </c>
      <c r="C146" s="20"/>
      <c r="D146" s="20"/>
      <c r="E146" s="20"/>
      <c r="F146" s="20"/>
      <c r="G146" s="20"/>
      <c r="H146" s="76"/>
      <c r="I146" s="86">
        <f>IF(Planification!$Q11=1,1,IF(Planification!$Q11=2,0.7,IF(Planification!$Q11=3,0.3,IF(Planification!$Q11=4,0,IF(Planification!$Q11=5,0.5,"Pas de réponse !")))))</f>
        <v>0.5</v>
      </c>
      <c r="J146" s="61" t="s">
        <v>136</v>
      </c>
      <c r="K146" s="58" t="str">
        <f>IF(Planification!S11=1,"X"," ")</f>
        <v> </v>
      </c>
      <c r="L146" s="58" t="str">
        <f>IF(Planification!T11=1,"X"," ")</f>
        <v> </v>
      </c>
      <c r="M146" s="49" t="str">
        <f t="shared" si="14"/>
        <v> </v>
      </c>
      <c r="N146" s="49" t="str">
        <f t="shared" si="15"/>
        <v> </v>
      </c>
    </row>
    <row r="147" spans="1:14" ht="12.75">
      <c r="A147" s="47">
        <v>806</v>
      </c>
      <c r="B147" s="20" t="s">
        <v>103</v>
      </c>
      <c r="C147" s="20"/>
      <c r="D147" s="20"/>
      <c r="E147" s="20"/>
      <c r="F147" s="20"/>
      <c r="G147" s="20"/>
      <c r="H147" s="76"/>
      <c r="I147" s="86">
        <f>IF(Planification!$Q12=1,1,IF(Planification!$Q12=2,0.7,IF(Planification!$Q12=3,0.3,IF(Planification!$Q12=4,0,IF(Planification!$Q12=5,0.5,"Pas de réponse !")))))</f>
        <v>0.5</v>
      </c>
      <c r="J147" s="61" t="s">
        <v>136</v>
      </c>
      <c r="K147" s="58" t="str">
        <f>IF(Planification!S12=1,"X"," ")</f>
        <v> </v>
      </c>
      <c r="L147" s="58" t="str">
        <f>IF(Planification!T12=1,"X"," ")</f>
        <v> </v>
      </c>
      <c r="M147" s="49" t="str">
        <f t="shared" si="14"/>
        <v> </v>
      </c>
      <c r="N147" s="49" t="str">
        <f t="shared" si="15"/>
        <v> </v>
      </c>
    </row>
    <row r="148" spans="1:14" ht="12.75">
      <c r="A148" s="47">
        <v>807</v>
      </c>
      <c r="B148" s="20" t="s">
        <v>104</v>
      </c>
      <c r="C148" s="20"/>
      <c r="D148" s="20"/>
      <c r="E148" s="20"/>
      <c r="F148" s="20"/>
      <c r="G148" s="20"/>
      <c r="H148" s="76"/>
      <c r="I148" s="86">
        <f>IF(Planification!$Q13=1,1,IF(Planification!$Q13=2,0.7,IF(Planification!$Q13=3,0.3,IF(Planification!$Q13=4,0,IF(Planification!$Q13=5,0.5,"Pas de réponse !")))))</f>
        <v>0.5</v>
      </c>
      <c r="J148" s="61" t="s">
        <v>136</v>
      </c>
      <c r="K148" s="58" t="str">
        <f>IF(Planification!S13=1,"X"," ")</f>
        <v> </v>
      </c>
      <c r="L148" s="58" t="str">
        <f>IF(Planification!T13=1,"X"," ")</f>
        <v> </v>
      </c>
      <c r="M148" s="49" t="str">
        <f t="shared" si="14"/>
        <v> </v>
      </c>
      <c r="N148" s="49" t="str">
        <f t="shared" si="15"/>
        <v> </v>
      </c>
    </row>
    <row r="149" spans="1:14" ht="12.75">
      <c r="A149" s="47">
        <v>808</v>
      </c>
      <c r="B149" s="20" t="s">
        <v>105</v>
      </c>
      <c r="C149" s="20"/>
      <c r="D149" s="20"/>
      <c r="E149" s="20"/>
      <c r="F149" s="20"/>
      <c r="G149" s="20"/>
      <c r="H149" s="76"/>
      <c r="I149" s="86">
        <f>IF(Planification!$Q14=1,1,IF(Planification!$Q14=2,0.7,IF(Planification!$Q14=3,0.3,IF(Planification!$Q14=4,0,IF(Planification!$Q14=5,0.5,"Pas de réponse !")))))</f>
        <v>0.5</v>
      </c>
      <c r="J149" s="61" t="s">
        <v>136</v>
      </c>
      <c r="K149" s="58" t="str">
        <f>IF(Planification!S14=1,"X"," ")</f>
        <v> </v>
      </c>
      <c r="L149" s="58" t="str">
        <f>IF(Planification!T14=1,"X"," ")</f>
        <v> </v>
      </c>
      <c r="M149" s="49" t="str">
        <f t="shared" si="14"/>
        <v> </v>
      </c>
      <c r="N149" s="49" t="str">
        <f t="shared" si="15"/>
        <v> </v>
      </c>
    </row>
    <row r="150" spans="1:14" ht="12.75">
      <c r="A150" s="47">
        <v>809</v>
      </c>
      <c r="B150" s="20" t="s">
        <v>106</v>
      </c>
      <c r="C150" s="20"/>
      <c r="D150" s="20"/>
      <c r="E150" s="20"/>
      <c r="F150" s="20"/>
      <c r="G150" s="20"/>
      <c r="H150" s="76"/>
      <c r="I150" s="86">
        <f>IF(Planification!$Q15=1,1,IF(Planification!$Q15=2,0.7,IF(Planification!$Q15=3,0.3,IF(Planification!$Q15=4,0,IF(Planification!$Q15=5,0.5,"Pas de réponse !")))))</f>
        <v>0.5</v>
      </c>
      <c r="J150" s="61" t="s">
        <v>136</v>
      </c>
      <c r="K150" s="58" t="str">
        <f>IF(Planification!S15=1,"X"," ")</f>
        <v> </v>
      </c>
      <c r="L150" s="58" t="str">
        <f>IF(Planification!T15=1,"X"," ")</f>
        <v> </v>
      </c>
      <c r="M150" s="49" t="str">
        <f t="shared" si="14"/>
        <v> </v>
      </c>
      <c r="N150" s="49" t="str">
        <f t="shared" si="15"/>
        <v> </v>
      </c>
    </row>
    <row r="151" spans="1:14" ht="12.75">
      <c r="A151" s="47">
        <v>810</v>
      </c>
      <c r="B151" s="20" t="s">
        <v>107</v>
      </c>
      <c r="C151" s="20"/>
      <c r="D151" s="20"/>
      <c r="E151" s="20"/>
      <c r="F151" s="20"/>
      <c r="G151" s="20"/>
      <c r="H151" s="76"/>
      <c r="I151" s="86">
        <f>IF(Planification!$Q16=1,1,IF(Planification!$Q16=2,0.7,IF(Planification!$Q16=3,0.3,IF(Planification!$Q16=4,0,IF(Planification!$Q16=5,0.5,"Pas de réponse !")))))</f>
        <v>0.5</v>
      </c>
      <c r="J151" s="61" t="s">
        <v>136</v>
      </c>
      <c r="K151" s="58" t="str">
        <f>IF(Planification!S16=1,"X"," ")</f>
        <v> </v>
      </c>
      <c r="L151" s="58" t="str">
        <f>IF(Planification!T16=1,"X"," ")</f>
        <v> </v>
      </c>
      <c r="M151" s="49" t="str">
        <f t="shared" si="14"/>
        <v> </v>
      </c>
      <c r="N151" s="49" t="str">
        <f t="shared" si="15"/>
        <v> </v>
      </c>
    </row>
    <row r="152" spans="1:14" ht="12.75">
      <c r="A152" s="47">
        <v>811</v>
      </c>
      <c r="B152" s="20" t="s">
        <v>108</v>
      </c>
      <c r="C152" s="20"/>
      <c r="D152" s="20"/>
      <c r="E152" s="20"/>
      <c r="F152" s="20"/>
      <c r="G152" s="20"/>
      <c r="H152" s="76"/>
      <c r="I152" s="86">
        <f>IF(Planification!$Q17=1,1,IF(Planification!$Q17=2,0.7,IF(Planification!$Q17=3,0.3,IF(Planification!$Q17=4,0,IF(Planification!$Q17=5,0.5,"Pas de réponse !")))))</f>
        <v>0.5</v>
      </c>
      <c r="J152" s="61" t="s">
        <v>136</v>
      </c>
      <c r="K152" s="58" t="str">
        <f>IF(Planification!S17=1,"X"," ")</f>
        <v> </v>
      </c>
      <c r="L152" s="58" t="str">
        <f>IF(Planification!T17=1,"X"," ")</f>
        <v> </v>
      </c>
      <c r="M152" s="49" t="str">
        <f t="shared" si="14"/>
        <v> </v>
      </c>
      <c r="N152" s="49" t="str">
        <f t="shared" si="15"/>
        <v> </v>
      </c>
    </row>
    <row r="153" spans="1:14" ht="12.75">
      <c r="A153" s="47">
        <v>812</v>
      </c>
      <c r="B153" s="20" t="s">
        <v>109</v>
      </c>
      <c r="C153" s="20"/>
      <c r="D153" s="20"/>
      <c r="E153" s="20"/>
      <c r="F153" s="20"/>
      <c r="G153" s="20"/>
      <c r="H153" s="76"/>
      <c r="I153" s="86">
        <f>IF(Planification!$Q18=1,1,IF(Planification!$Q18=2,0.7,IF(Planification!$Q18=3,0.3,IF(Planification!$Q18=4,0,IF(Planification!$Q18=5,0.5,"Pas de réponse !")))))</f>
        <v>0.5</v>
      </c>
      <c r="J153" s="61" t="s">
        <v>136</v>
      </c>
      <c r="K153" s="58" t="str">
        <f>IF(Planification!S18=1,"X"," ")</f>
        <v> </v>
      </c>
      <c r="L153" s="58" t="str">
        <f>IF(Planification!T18=1,"X"," ")</f>
        <v> </v>
      </c>
      <c r="M153" s="49" t="str">
        <f t="shared" si="14"/>
        <v> </v>
      </c>
      <c r="N153" s="49" t="str">
        <f t="shared" si="15"/>
        <v> </v>
      </c>
    </row>
    <row r="154" spans="1:14" ht="15">
      <c r="A154" s="74" t="s">
        <v>141</v>
      </c>
      <c r="B154" s="88" t="str">
        <f>IF($G154=1,"X"," ")</f>
        <v> </v>
      </c>
      <c r="C154" s="89" t="str">
        <f>IF($G154=2,"X"," ")</f>
        <v> </v>
      </c>
      <c r="D154" s="90" t="str">
        <f>IF($G154=3,"X"," ")</f>
        <v> </v>
      </c>
      <c r="E154" s="91" t="str">
        <f>IF($G154=4,"X"," ")</f>
        <v> </v>
      </c>
      <c r="F154" s="75" t="s">
        <v>142</v>
      </c>
      <c r="G154" s="92" t="str">
        <f>IF($I154=0,"~",IF($K154="OUI","~",IF($I154&lt;=2,4,IF($I154&lt;=4.4,3,IF($I154&lt;=10,2,IF($I154&gt;10,1," "))))))</f>
        <v>~</v>
      </c>
      <c r="H154" s="64"/>
      <c r="I154" s="80">
        <f>IF(Planification!R19&gt;9,0,SUM(I142:I153))</f>
        <v>0</v>
      </c>
      <c r="J154" s="81" t="s">
        <v>146</v>
      </c>
      <c r="K154" s="82" t="str">
        <f>IF(Planification!R19&gt;9," ",IF(M154&gt;0,"OUI","NON"))</f>
        <v> </v>
      </c>
      <c r="L154" s="82" t="str">
        <f>IF(Planification!R19&gt;9," ",IF(N154&gt;4,"OUI","NON"))</f>
        <v> </v>
      </c>
      <c r="M154" s="58">
        <f>COUNT(M142:M153)</f>
        <v>0</v>
      </c>
      <c r="N154" s="58">
        <f>COUNT(N142:N153)</f>
        <v>0</v>
      </c>
    </row>
    <row r="155" spans="1:12" ht="12.75">
      <c r="A155" s="146" t="s">
        <v>137</v>
      </c>
      <c r="B155" s="147"/>
      <c r="C155" s="65"/>
      <c r="D155" s="66"/>
      <c r="E155" s="66"/>
      <c r="F155" s="67"/>
      <c r="G155" s="68"/>
      <c r="H155" s="65"/>
      <c r="I155" s="69"/>
      <c r="J155" s="70"/>
      <c r="K155" s="71"/>
      <c r="L155" s="72"/>
    </row>
    <row r="156" spans="1:12" ht="19.5" customHeight="1">
      <c r="A156" s="148" t="str">
        <f>IF(Planification!R19&gt;9," ",IF(K154="OUI","Travaillez avant tout sur les points éliminatoires de 1er niveau ! Un effort certain est à fournir...",IF(L154="OUI","Travaillez sur les points éliminatoires de 2e niveau ! Un effort modéré est à fournir pour un gain important...","Maintenez votre niveau et travaillez sur vos points faibles restant !")))</f>
        <v> </v>
      </c>
      <c r="B156" s="149"/>
      <c r="C156" s="149"/>
      <c r="D156" s="149"/>
      <c r="E156" s="149"/>
      <c r="F156" s="149"/>
      <c r="G156" s="149"/>
      <c r="H156" s="150"/>
      <c r="I156" s="151"/>
      <c r="J156" s="151"/>
      <c r="K156" s="151"/>
      <c r="L156" s="152"/>
    </row>
    <row r="157" spans="1:12" ht="19.5" customHeight="1">
      <c r="A157" s="153" t="str">
        <f>IF(Planification!R19&gt;9,"Il y a trop de réponses Sans objet : l'item n'est probablement pas maîtrisé ou inapplicable !",IF(Résultats!K157="OUI","Votre note ne reflète pas votre maîtrise tant qu'il reste des points éliminatoires de premier niveau !"," "))</f>
        <v>Il y a trop de réponses Sans objet : l'item n'est probablement pas maîtrisé ou inapplicable !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5"/>
    </row>
  </sheetData>
  <sheetProtection password="CC66" sheet="1" objects="1" scenarios="1"/>
  <mergeCells count="81">
    <mergeCell ref="A79:B79"/>
    <mergeCell ref="A80:L80"/>
    <mergeCell ref="K64:L64"/>
    <mergeCell ref="I84:J85"/>
    <mergeCell ref="K84:L84"/>
    <mergeCell ref="I64:J65"/>
    <mergeCell ref="B42:H43"/>
    <mergeCell ref="B28:H28"/>
    <mergeCell ref="B29:H29"/>
    <mergeCell ref="B30:H30"/>
    <mergeCell ref="B31:H31"/>
    <mergeCell ref="B35:H35"/>
    <mergeCell ref="B110:H110"/>
    <mergeCell ref="B64:H65"/>
    <mergeCell ref="B84:H85"/>
    <mergeCell ref="B105:H106"/>
    <mergeCell ref="B109:H109"/>
    <mergeCell ref="B107:H107"/>
    <mergeCell ref="A100:B100"/>
    <mergeCell ref="B108:H108"/>
    <mergeCell ref="A101:L101"/>
    <mergeCell ref="A102:L102"/>
    <mergeCell ref="B34:H34"/>
    <mergeCell ref="B14:H14"/>
    <mergeCell ref="A23:L23"/>
    <mergeCell ref="A22:L22"/>
    <mergeCell ref="A21:B21"/>
    <mergeCell ref="B17:H17"/>
    <mergeCell ref="B18:H18"/>
    <mergeCell ref="K42:L42"/>
    <mergeCell ref="A81:L81"/>
    <mergeCell ref="A120:L120"/>
    <mergeCell ref="I123:J124"/>
    <mergeCell ref="I26:J27"/>
    <mergeCell ref="K26:L26"/>
    <mergeCell ref="A37:B37"/>
    <mergeCell ref="A38:L38"/>
    <mergeCell ref="B32:H32"/>
    <mergeCell ref="B33:H33"/>
    <mergeCell ref="B15:H15"/>
    <mergeCell ref="B16:H16"/>
    <mergeCell ref="I105:J106"/>
    <mergeCell ref="K105:L105"/>
    <mergeCell ref="B123:H124"/>
    <mergeCell ref="A39:L39"/>
    <mergeCell ref="I42:J43"/>
    <mergeCell ref="A59:B59"/>
    <mergeCell ref="A60:L60"/>
    <mergeCell ref="A61:L61"/>
    <mergeCell ref="B7:H7"/>
    <mergeCell ref="B8:H8"/>
    <mergeCell ref="B9:H9"/>
    <mergeCell ref="B10:H10"/>
    <mergeCell ref="K123:L123"/>
    <mergeCell ref="B11:H11"/>
    <mergeCell ref="B12:H12"/>
    <mergeCell ref="B13:H13"/>
    <mergeCell ref="B26:H27"/>
    <mergeCell ref="B19:H19"/>
    <mergeCell ref="I3:J4"/>
    <mergeCell ref="A1:L1"/>
    <mergeCell ref="B5:H5"/>
    <mergeCell ref="B6:H6"/>
    <mergeCell ref="K3:L3"/>
    <mergeCell ref="B3:H4"/>
    <mergeCell ref="A118:B118"/>
    <mergeCell ref="A119:L119"/>
    <mergeCell ref="B112:H112"/>
    <mergeCell ref="B113:H113"/>
    <mergeCell ref="B114:H114"/>
    <mergeCell ref="B115:H115"/>
    <mergeCell ref="B116:H116"/>
    <mergeCell ref="A155:B155"/>
    <mergeCell ref="A156:L156"/>
    <mergeCell ref="A157:L157"/>
    <mergeCell ref="A135:B135"/>
    <mergeCell ref="A136:L136"/>
    <mergeCell ref="A137:L137"/>
    <mergeCell ref="I140:J141"/>
    <mergeCell ref="K140:L140"/>
    <mergeCell ref="B140:H141"/>
  </mergeCells>
  <printOptions/>
  <pageMargins left="0.787401575" right="0.787401575" top="0.984251969" bottom="0.984251969" header="0.4921259845" footer="0.4921259845"/>
  <pageSetup horizontalDpi="200" verticalDpi="200" orientation="landscape" paperSize="9" scale="97" r:id="rId2"/>
  <rowBreaks count="7" manualBreakCount="7">
    <brk id="24" max="255" man="1"/>
    <brk id="40" max="255" man="1"/>
    <brk id="62" max="255" man="1"/>
    <brk id="82" max="255" man="1"/>
    <brk id="103" max="255" man="1"/>
    <brk id="121" max="255" man="1"/>
    <brk id="13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model_U</dc:creator>
  <cp:keywords/>
  <dc:description/>
  <cp:lastModifiedBy>Cousin Hub</cp:lastModifiedBy>
  <cp:lastPrinted>2004-06-21T11:09:38Z</cp:lastPrinted>
  <dcterms:created xsi:type="dcterms:W3CDTF">2004-03-31T07:59:03Z</dcterms:created>
  <dcterms:modified xsi:type="dcterms:W3CDTF">2009-07-23T18:16:23Z</dcterms:modified>
  <cp:category/>
  <cp:version/>
  <cp:contentType/>
  <cp:contentStatus/>
</cp:coreProperties>
</file>